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charts/chart4.xml" ContentType="application/vnd.openxmlformats-officedocument.drawingml.chart+xml"/>
  <Override PartName="/xl/theme/themeOverride2.xml" ContentType="application/vnd.openxmlformats-officedocument.themeOverrid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cepiaisbl.sharepoint.com/sites/4EG/sub_ws1/Shared Documents/WS1/10. Macrosticky Analysis/Soft Release 2026/Secretariat version for publication/"/>
    </mc:Choice>
  </mc:AlternateContent>
  <xr:revisionPtr revIDLastSave="12" documentId="13_ncr:1_{D78A4ACF-4B42-5749-8050-3130F63CBF9F}" xr6:coauthVersionLast="47" xr6:coauthVersionMax="47" xr10:uidLastSave="{438DE27B-762B-43A3-B4BD-2ECE45EDD1F0}"/>
  <bookViews>
    <workbookView xWindow="-3420" yWindow="-21000" windowWidth="38400" windowHeight="21000" firstSheet="1" activeTab="2" xr2:uid="{ABCB7CCE-B6A4-4657-946E-6B0D252A1670}"/>
  </bookViews>
  <sheets>
    <sheet name="Scorecard Part I" sheetId="3" r:id="rId1"/>
    <sheet name="Scorecard Part II " sheetId="1" r:id="rId2"/>
    <sheet name="Scorecard Part III" sheetId="4" r:id="rId3"/>
    <sheet name="Adjusted Macrostickies Area" sheetId="5" r:id="rId4"/>
  </sheets>
  <definedNames>
    <definedName name="_xlnm.Print_Area" localSheetId="0">'Scorecard Part I'!$A$1:$R$17</definedName>
    <definedName name="_xlnm.Print_Area" localSheetId="1">'Scorecard Part II '!$A$1:$AI$34</definedName>
    <definedName name="_xlnm.Print_Area" localSheetId="2">'Scorecard Part III'!$A$1:$BC$30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5" l="1"/>
  <c r="F34" i="4"/>
  <c r="F26" i="5" l="1"/>
  <c r="F25" i="5"/>
  <c r="F24" i="5"/>
  <c r="F23" i="5"/>
  <c r="F22" i="5"/>
  <c r="F21" i="5"/>
  <c r="F20" i="5"/>
  <c r="F19" i="5"/>
  <c r="D9" i="5" s="1"/>
  <c r="F18" i="5"/>
  <c r="D8" i="5" s="1"/>
  <c r="F17" i="5"/>
  <c r="F16" i="5"/>
  <c r="F15" i="5"/>
  <c r="F14" i="5"/>
  <c r="F13" i="5"/>
  <c r="D7" i="5" s="1"/>
  <c r="J32" i="1" l="1"/>
  <c r="H32" i="1"/>
  <c r="G34" i="4" l="1"/>
  <c r="E21" i="3"/>
  <c r="F21" i="3" s="1"/>
  <c r="G29" i="4" l="1"/>
  <c r="H29" i="4"/>
  <c r="I19" i="4"/>
  <c r="F16" i="4"/>
  <c r="B17" i="4"/>
  <c r="E17" i="4"/>
  <c r="F17" i="4" s="1"/>
  <c r="C17" i="4"/>
  <c r="D29" i="4"/>
  <c r="H22" i="4"/>
  <c r="H21" i="4"/>
  <c r="G22" i="4"/>
  <c r="G21" i="4"/>
  <c r="G19" i="4"/>
  <c r="G16" i="4" l="1"/>
  <c r="H16" i="4" l="1"/>
  <c r="S16" i="4" l="1"/>
  <c r="L11" i="4" l="1"/>
  <c r="N16" i="4"/>
  <c r="N17" i="4"/>
  <c r="F18" i="4" s="1"/>
  <c r="R17" i="4"/>
  <c r="S13" i="4"/>
  <c r="K13" i="4"/>
  <c r="F19" i="4"/>
  <c r="K19" i="4"/>
  <c r="K22" i="4"/>
  <c r="R22" i="4"/>
  <c r="F22" i="4"/>
  <c r="P21" i="4"/>
  <c r="K21" i="4"/>
  <c r="K20" i="4"/>
  <c r="F20" i="4"/>
  <c r="H20" i="4" l="1"/>
  <c r="G20" i="4"/>
  <c r="H19" i="4"/>
  <c r="S19" i="4" s="1"/>
  <c r="H17" i="4"/>
  <c r="E16" i="4"/>
  <c r="E29" i="4" s="1"/>
  <c r="R13" i="4"/>
  <c r="R19" i="4"/>
  <c r="S21" i="4"/>
  <c r="R21" i="4"/>
  <c r="F21" i="4"/>
  <c r="R20" i="4" l="1"/>
  <c r="S17" i="4"/>
  <c r="H18" i="4"/>
  <c r="R16" i="4"/>
  <c r="S22" i="4"/>
  <c r="S20" i="4"/>
  <c r="G18" i="4" l="1"/>
  <c r="G28" i="4" s="1"/>
  <c r="H28" i="4" s="1"/>
  <c r="H26" i="4"/>
  <c r="H25" i="4"/>
  <c r="H27" i="4"/>
  <c r="S18" i="4"/>
  <c r="D28" i="4" l="1"/>
  <c r="G27" i="4"/>
  <c r="G26" i="4"/>
  <c r="G25" i="4"/>
  <c r="R18" i="4"/>
  <c r="J33" i="3"/>
  <c r="L34" i="3" s="1"/>
  <c r="O14" i="3" s="1"/>
  <c r="J32" i="3"/>
  <c r="L32" i="3" s="1"/>
  <c r="L14" i="3" s="1"/>
  <c r="E16" i="3"/>
  <c r="F16" i="3" s="1" a="1"/>
  <c r="F16" i="3" s="1"/>
  <c r="F15" i="3" a="1"/>
  <c r="F15" i="3" s="1"/>
  <c r="E15" i="3"/>
  <c r="E14" i="3"/>
  <c r="D13" i="3"/>
  <c r="E11" i="3"/>
  <c r="E10" i="3"/>
  <c r="F13" i="3" l="1" a="1"/>
  <c r="F13" i="3" s="1"/>
  <c r="L33" i="3"/>
  <c r="N14" i="3" s="1"/>
  <c r="F14" i="3" s="1" a="1"/>
  <c r="F14" i="3" s="1"/>
  <c r="H17" i="3" l="1"/>
  <c r="F17" i="3"/>
  <c r="D17" i="3"/>
  <c r="Q26" i="1" l="1"/>
  <c r="N26" i="1"/>
  <c r="Q25" i="1"/>
  <c r="N25" i="1"/>
  <c r="N24" i="1"/>
  <c r="I24" i="1"/>
  <c r="J24" i="1" s="1"/>
  <c r="U24" i="1" s="1"/>
  <c r="H24" i="1"/>
  <c r="S23" i="1"/>
  <c r="R23" i="1"/>
  <c r="N23" i="1"/>
  <c r="H23" i="1"/>
  <c r="I23" i="1" s="1"/>
  <c r="E23" i="1"/>
  <c r="N22" i="1"/>
  <c r="I22" i="1"/>
  <c r="J22" i="1" s="1"/>
  <c r="U22" i="1" s="1"/>
  <c r="H22" i="1"/>
  <c r="N21" i="1"/>
  <c r="I21" i="1"/>
  <c r="J21" i="1" s="1"/>
  <c r="U21" i="1" s="1"/>
  <c r="H21" i="1"/>
  <c r="N20" i="1"/>
  <c r="I20" i="1"/>
  <c r="J20" i="1" s="1"/>
  <c r="H20" i="1"/>
  <c r="N19" i="1"/>
  <c r="I19" i="1"/>
  <c r="J19" i="1" s="1"/>
  <c r="U19" i="1" s="1"/>
  <c r="H19" i="1"/>
  <c r="N18" i="1"/>
  <c r="I18" i="1"/>
  <c r="J18" i="1" s="1"/>
  <c r="H18" i="1"/>
  <c r="U17" i="1"/>
  <c r="N17" i="1"/>
  <c r="H17" i="1"/>
  <c r="J23" i="1" s="1"/>
  <c r="U23" i="1" s="1"/>
  <c r="N16" i="1"/>
  <c r="I16" i="1"/>
  <c r="J16" i="1" s="1"/>
  <c r="U16" i="1" s="1"/>
  <c r="H16" i="1"/>
  <c r="N15" i="1"/>
  <c r="I15" i="1"/>
  <c r="J15" i="1" s="1"/>
  <c r="U15" i="1" s="1"/>
  <c r="H15" i="1"/>
  <c r="I14" i="1"/>
  <c r="J14" i="1" s="1"/>
  <c r="U14" i="1" s="1"/>
  <c r="H14" i="1"/>
  <c r="N13" i="1"/>
  <c r="I13" i="1"/>
  <c r="J13" i="1" s="1"/>
  <c r="H13" i="1"/>
  <c r="N12" i="1"/>
  <c r="E12" i="1"/>
  <c r="I12" i="1" s="1"/>
  <c r="J12" i="1" s="1"/>
  <c r="U11" i="1"/>
  <c r="N11" i="1"/>
  <c r="H11" i="1"/>
  <c r="U10" i="1"/>
  <c r="N10" i="1"/>
  <c r="H10" i="1"/>
  <c r="U20" i="1" l="1"/>
  <c r="J26" i="1"/>
  <c r="I26" i="1"/>
  <c r="U13" i="1"/>
  <c r="J25" i="1"/>
  <c r="I25" i="1"/>
  <c r="U12" i="1"/>
  <c r="U18" i="1"/>
  <c r="J27" i="1" l="1"/>
  <c r="V23" i="1" s="1"/>
  <c r="V17" i="1" l="1"/>
  <c r="V14" i="1"/>
  <c r="V10" i="1"/>
  <c r="V13" i="1"/>
  <c r="V12" i="1"/>
  <c r="V24" i="1"/>
  <c r="V20" i="1"/>
  <c r="V15" i="1"/>
  <c r="V18" i="1"/>
  <c r="V21" i="1"/>
  <c r="V22" i="1"/>
  <c r="V16" i="1"/>
  <c r="D27" i="1"/>
  <c r="V19" i="1"/>
  <c r="V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tc={B1DD9564-44A4-4BC6-B1E0-957605B1C72E}</author>
    <author>tc={C11E7B39-B63C-4493-B91C-77A349681E3F}</author>
    <author>tc={A481EC8B-BFF0-4D79-8349-428A0931AB53}</author>
    <author>tc={A03AE7A0-2F0A-4646-8CB9-676FBB90618F}</author>
    <author>tc={85E9EF75-A1E5-4B95-BA6D-4033381EC855}</author>
    <author>tc={A471C548-9DD0-4AAA-ADF2-C0EE428D107F}</author>
    <author>tc={AE971436-7F32-463D-BEDD-5FBEDCC64CD7}</author>
    <author>tc={62418CBA-83F1-4FE5-9189-8BBEE0FDA1FA}</author>
    <author>tc={2E74256D-07BF-43C0-95BF-8A7EF6271EDF}</author>
    <author>tc={60C81BE1-8EBD-4767-A04B-F421C3684AE2}</author>
    <author>tc={3E1C2335-AF82-49E0-8733-724E2E677370}</author>
    <author>tc={F0567B82-FCE6-456B-8561-026B7240793A}</author>
    <author>tc={C2E6D394-DA72-49AF-9AFB-A63EF64473C4}</author>
    <author>tc={7A69F8B8-171D-417D-9D46-41EB1CE30EFC}</author>
    <author>tc={B92D25CE-5295-403B-AA05-97E55E65D9AA}</author>
    <author>tc={A42F4526-9CA6-46E3-AEA7-415B4173C143}</author>
    <author>tc={81E4C148-B85E-4926-8076-885E52511016}</author>
    <author>tc={F624AAF7-C0D7-4155-9B7C-B41DBF96A656}</author>
    <author>tc={F84EE827-E5CB-474A-93A8-F08C10CE8FF8}</author>
    <author>tc={B1DD9564-44A4-4BC7-B1E0-957605B1C72E}</author>
  </authors>
  <commentList>
    <comment ref="J9" authorId="0" shapeId="0" xr:uid="{B1DD9564-44A4-4BC6-B1E0-957605B1C72E}">
      <text>
        <t>[Threaded comment]
Your version of Excel allows you to read this threaded comment; however, any edits to it will get removed if the file is opened in a newer version of Excel. Learn more: https://go.microsoft.com/fwlink/?linkid=870924
Comment:
    These parameters can be changed if one wants to create a new proposal</t>
      </text>
    </comment>
    <comment ref="K10" authorId="1" shapeId="0" xr:uid="{C11E7B39-B63C-4493-B91C-77A349681E3F}">
      <text>
        <t>[Threaded comment]
Your version of Excel allows you to read this threaded comment; however, any edits to it will get removed if the file is opened in a newer version of Excel. Learn more: https://go.microsoft.com/fwlink/?linkid=870924
Comment:
    This is the lowest pulping time possible.
If this value is chosen no further penalty will be applied to the yield score</t>
      </text>
    </comment>
    <comment ref="L10" authorId="2" shapeId="0" xr:uid="{A481EC8B-BFF0-4D79-8349-428A0931AB53}">
      <text>
        <t>[Threaded comment]
Your version of Excel allows you to read this threaded comment; however, any edits to it will get removed if the file is opened in a newer version of Excel. Learn more: https://go.microsoft.com/fwlink/?linkid=870924
Comment:
    This is the highest pulping time possible. A penalty will be assigned if this is chosen. The penalty will be assigned using the value of parameter 3.</t>
      </text>
    </comment>
    <comment ref="M10" authorId="3" shapeId="0" xr:uid="{A03AE7A0-2F0A-4646-8CB9-676FBB90618F}">
      <text>
        <t>[Threaded comment]
Your version of Excel allows you to read this threaded comment; however, any edits to it will get removed if the file is opened in a newer version of Excel. Learn more: https://go.microsoft.com/fwlink/?linkid=870924
Comment:
    Max score when 20 min</t>
      </text>
    </comment>
    <comment ref="K11" authorId="4" shapeId="0" xr:uid="{85E9EF75-A1E5-4B95-BA6D-4033381EC855}">
      <text>
        <t xml:space="preserve">[Threaded comment]
Your version of Excel allows you to read this threaded comment; however, any edits to it will get removed if the file is opened in a newer version of Excel. Learn more: https://go.microsoft.com/fwlink/?linkid=870924
Comment:
    This parameter is used to calculate the total screening reject. The total screening reject is calculated by the sum of the coarse and fine reject, but the fine reject is multiplied by parameter 1.
In this case it means the fine reject value is multiplied by 0,9 for the total screening reject and thus more fine reject is allowed compared to coarse reject
</t>
      </text>
    </comment>
    <comment ref="K13" authorId="5" shapeId="0" xr:uid="{A471C548-9DD0-4AAA-ADF2-C0EE428D107F}">
      <text>
        <t xml:space="preserve">[Threaded comment]
Your version of Excel allows you to read this threaded comment; however, any edits to it will get removed if the file is opened in a newer version of Excel. Learn more: https://go.microsoft.com/fwlink/?linkid=870924
Comment:
    This parameter is a treshold is used to calculate the screening yield score. If the total scrrening reject is lower than this treshold the screening yield score is reduced by parameter 2 if it is higher it will be reduced by parameter 4
In this case any sample with a total reject of less than 5% will lose 2 points for every 1% reject increase, while a total reject higher than 5% will lose 4.5 points for every 1% reject increase
</t>
      </text>
    </comment>
    <comment ref="L13" authorId="6" shapeId="0" xr:uid="{AE971436-7F32-463D-BEDD-5FBEDCC64CD7}">
      <text>
        <t>[Threaded comment]
Your version of Excel allows you to read this threaded comment; however, any edits to it will get removed if the file is opened in a newer version of Excel. Learn more: https://go.microsoft.com/fwlink/?linkid=870924
Comment:
    This parameter is used to calculate the yield score for total reject values lower than parameter 2.</t>
      </text>
    </comment>
    <comment ref="M13" authorId="7" shapeId="0" xr:uid="{62418CBA-83F1-4FE5-9189-8BBEE0FDA1FA}">
      <text>
        <t>[Threaded comment]
Your version of Excel allows you to read this threaded comment; however, any edits to it will get removed if the file is opened in a newer version of Excel. Learn more: https://go.microsoft.com/fwlink/?linkid=870924
Comment:
    This parameter is a treshold is used to calculate the yield score. If the reject is lower than this treshold the yield score is reduced by parameter 5 if it is higher it will be reduced by parameter 6
In this case any sample with a total reject of less than 15% will lose 4,5 points for every 1% reject increase, while a total reject higher than 15% will lose 9 points for every 1% reject increase</t>
      </text>
    </comment>
    <comment ref="N13" authorId="8" shapeId="0" xr:uid="{2E74256D-07BF-43C0-95BF-8A7EF6271EDF}">
      <text>
        <t>[Threaded comment]
Your version of Excel allows you to read this threaded comment; however, any edits to it will get removed if the file is opened in a newer version of Excel. Learn more: https://go.microsoft.com/fwlink/?linkid=870924
Comment:
    This parameter is used to calculate the yield score for total reject values lower than parameter 4.</t>
      </text>
    </comment>
    <comment ref="O13" authorId="9" shapeId="0" xr:uid="{60C81BE1-8EBD-4767-A04B-F421C3684AE2}">
      <text>
        <t>[Threaded comment]
Your version of Excel allows you to read this threaded comment; however, any edits to it will get removed if the file is opened in a newer version of Excel. Learn more: https://go.microsoft.com/fwlink/?linkid=870924
Comment:
    This parameter is used to calculate the yield score for total reject values higher than parameter 4.</t>
      </text>
    </comment>
    <comment ref="K14" authorId="10" shapeId="0" xr:uid="{3E1C2335-AF82-49E0-8733-724E2E677370}">
      <text>
        <t>[Threaded comment]
Your version of Excel allows you to read this threaded comment; however, any edits to it will get removed if the file is opened in a newer version of Excel. Learn more: https://go.microsoft.com/fwlink/?linkid=870924
Comment:
    This parameter is a treshold is used to calculate the DCS score. If the DCS is lower than this treshold the DCS score is reduced by #parameter 2# if it is higher it will be reduced by #parameter 4#
In this case any sample with a DCS of less than #Parameter1# mg/g will lose #Parameter2# points for every 1 mg/g DCS increase increase, while a DCS higher than #parameter1# will lose #Parameter4# points for every 1 mg/g DCS increase
Parameter 2 and 4 can be calculated in table B16...D20</t>
      </text>
    </comment>
    <comment ref="M14" authorId="11" shapeId="0" xr:uid="{F0567B82-FCE6-456B-8561-026B7240793A}">
      <text>
        <t xml:space="preserve">[Threaded comment]
Your version of Excel allows you to read this threaded comment; however, any edits to it will get removed if the file is opened in a newer version of Excel. Learn more: https://go.microsoft.com/fwlink/?linkid=870924
Comment:
    This parameter is a treshold is used to calculate the DCS score. If the DCS is lower than this treshold the DCS score is reduced by #parameter 4# if it is higher it will be reduced by #parameter 5#
In this case any sample with a DCS of less than #Parameter3#mg/g will lose #Parameter4# points for every 1 mg/g DCS increase increase, while a DCS higher than #parameter3# will lose #Parameter5# points for every 1 mg/g DCS increase
Parameter 2 and 4 can be calculated in table B16...D20
</t>
      </text>
    </comment>
    <comment ref="K15" authorId="12" shapeId="0" xr:uid="{C2E6D394-DA72-49AF-9AFB-A63EF64473C4}">
      <text>
        <t>[Threaded comment]
Your version of Excel allows you to read this threaded comment; however, any edits to it will get removed if the file is opened in a newer version of Excel. Learn more: https://go.microsoft.com/fwlink/?linkid=870924
Comment:
    Score for level 1 sheet adhesion</t>
      </text>
    </comment>
    <comment ref="L15" authorId="13" shapeId="0" xr:uid="{7A69F8B8-171D-417D-9D46-41EB1CE30EFC}">
      <text>
        <t>[Threaded comment]
Your version of Excel allows you to read this threaded comment; however, any edits to it will get removed if the file is opened in a newer version of Excel. Learn more: https://go.microsoft.com/fwlink/?linkid=870924
Comment:
    Score for level 2 sheet adhesion</t>
      </text>
    </comment>
    <comment ref="M15" authorId="14" shapeId="0" xr:uid="{B92D25CE-5295-403B-AA05-97E55E65D9AA}">
      <text>
        <t>[Threaded comment]
Your version of Excel allows you to read this threaded comment; however, any edits to it will get removed if the file is opened in a newer version of Excel. Learn more: https://go.microsoft.com/fwlink/?linkid=870924
Comment:
    Score for level 3 sheet adhesion
In this case a knockout is assigned.
It means if this level is obtained the overal score does not mather and the sample is classed as not recycable</t>
      </text>
    </comment>
    <comment ref="K16" authorId="15" shapeId="0" xr:uid="{A42F4526-9CA6-46E3-AEA7-415B4173C143}">
      <text>
        <t>[Threaded comment]
Your version of Excel allows you to read this threaded comment; however, any edits to it will get removed if the file is opened in a newer version of Excel. Learn more: https://go.microsoft.com/fwlink/?linkid=870924
Comment:
    Score for level 1 visual impurities</t>
      </text>
    </comment>
    <comment ref="L16" authorId="16" shapeId="0" xr:uid="{81E4C148-B85E-4926-8076-885E52511016}">
      <text>
        <t>[Threaded comment]
Your version of Excel allows you to read this threaded comment; however, any edits to it will get removed if the file is opened in a newer version of Excel. Learn more: https://go.microsoft.com/fwlink/?linkid=870924
Comment:
    Score for level 2 visual impurities</t>
      </text>
    </comment>
    <comment ref="M16" authorId="17" shapeId="0" xr:uid="{F624AAF7-C0D7-4155-9B7C-B41DBF96A656}">
      <text>
        <t>[Threaded comment]
Your version of Excel allows you to read this threaded comment; however, any edits to it will get removed if the file is opened in a newer version of Excel. Learn more: https://go.microsoft.com/fwlink/?linkid=870924
Comment:
    Score for level 3 visual impurities</t>
      </text>
    </comment>
    <comment ref="N16" authorId="18" shapeId="0" xr:uid="{F84EE827-E5CB-474A-93A8-F08C10CE8FF8}">
      <text>
        <t>[Threaded comment]
Your version of Excel allows you to read this threaded comment; however, any edits to it will get removed if the file is opened in a newer version of Excel. Learn more: https://go.microsoft.com/fwlink/?linkid=870924
Comment:
    Score for level 4 visual impurities</t>
      </text>
    </comment>
    <comment ref="J20" authorId="19" shapeId="0" xr:uid="{4302A320-5ACF-4A04-BA7B-818B146F21F0}">
      <text>
        <t>[Threaded comment]
Your version of Excel allows you to read this threaded comment; however, any edits to it will get removed if the file is opened in a newer version of Excel. Learn more: https://go.microsoft.com/fwlink/?linkid=870924
Comment:
    These parameters can be changed if one wants to create a new proposal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tc={90C5037E-FFA6-48F9-8E50-6CC348BE58DC}</author>
    <author>tc={6D6593ED-1E2D-49FB-A275-2B3BB9EB7567}</author>
    <author>tc={9F2E83B1-5DBC-43C0-BD65-29887F9B0153}</author>
    <author>tc={3313A6A8-A0FA-4BFC-BE01-FE4E214F6F7B}</author>
    <author>tc={58BD97CE-C6F5-4A5F-8FF5-B07ED4843127}</author>
    <author>tc={5E38B869-24A7-494E-8B23-0D39F59345C4}</author>
    <author>tc={D99DAB62-A643-4F9E-8584-002FB985FCB3}</author>
    <author>tc={48954304-C039-43EE-B179-E23DB0ED666D}</author>
    <author>tc={8D1CDA77-B53B-497A-889F-ACA16CD59B78}</author>
    <author>tc={1D38ED02-6180-4A9F-A2EC-375B6E6DCABC}</author>
    <author>tc={C3812F18-BFFB-47E3-AEBB-A554CA913753}</author>
    <author>tc={2EF2C268-96D8-4FB4-9110-DAA7EF795546}</author>
    <author>tc={126D8154-BFC5-4A58-9824-E6C249C982D5}</author>
    <author>tc={61653698-F529-46C8-B709-03BECCCA0A16}</author>
    <author>tc={74980B2A-7530-4CC5-B7F5-15B055999502}</author>
    <author>tc={90C5037E-FFA6-48FA-8E50-6CC348BE58DC}</author>
  </authors>
  <commentList>
    <comment ref="I9" authorId="0" shapeId="0" xr:uid="{90C5037E-FFA6-48F9-8E50-6CC348BE58DC}">
      <text>
        <t>[Threaded comment]
Your version of Excel allows you to read this threaded comment; however, any edits to it will get removed if the file is opened in a newer version of Excel. Learn more: https://go.microsoft.com/fwlink/?linkid=870924
Comment:
    In this column the calculations are made for the score, these calculations can be changed if you want to make a new proposal</t>
      </text>
    </comment>
    <comment ref="N9" authorId="1" shapeId="0" xr:uid="{6D6593ED-1E2D-49FB-A275-2B3BB9EB7567}">
      <text>
        <t>[Threaded comment]
Your version of Excel allows you to read this threaded comment; however, any edits to it will get removed if the file is opened in a newer version of Excel. Learn more: https://go.microsoft.com/fwlink/?linkid=870924
Comment:
    These parameters can be changed if one wants to create a new proposal</t>
      </text>
    </comment>
    <comment ref="U9" authorId="2" shapeId="0" xr:uid="{9F2E83B1-5DBC-43C0-BD65-29887F9B0153}">
      <text>
        <t>[Threaded comment]
Your version of Excel allows you to read this threaded comment; however, any edits to it will get removed if the file is opened in a newer version of Excel. Learn more: https://go.microsoft.com/fwlink/?linkid=870924
Comment:
    Contribution of subscore to total score considered (weighted)</t>
      </text>
    </comment>
    <comment ref="V9" authorId="3" shapeId="0" xr:uid="{3313A6A8-A0FA-4BFC-BE01-FE4E214F6F7B}">
      <text>
        <t>[Threaded comment]
Your version of Excel allows you to read this threaded comment; however, any edits to it will get removed if the file is opened in a newer version of Excel. Learn more: https://go.microsoft.com/fwlink/?linkid=870924
Comment:
    Contribution of subscore to total score considered (weighted)</t>
      </text>
    </comment>
    <comment ref="O10" authorId="4" shapeId="0" xr:uid="{58BD97CE-C6F5-4A5F-8FF5-B07ED4843127}">
      <text>
        <t>[Threaded comment]
Your version of Excel allows you to read this threaded comment; however, any edits to it will get removed if the file is opened in a newer version of Excel. Learn more: https://go.microsoft.com/fwlink/?linkid=870924
Comment:
    Reject factor</t>
      </text>
    </comment>
    <comment ref="O11" authorId="5" shapeId="0" xr:uid="{5E38B869-24A7-494E-8B23-0D39F59345C4}">
      <text>
        <t>[Threaded comment]
Your version of Excel allows you to read this threaded comment; however, any edits to it will get removed if the file is opened in a newer version of Excel. Learn more: https://go.microsoft.com/fwlink/?linkid=870924
Comment:
    Current situation in PART I: factor for fine reject (90% i.e. 0,9).
Discussion: factor for both rejects depending on the quality of the reject.
Currently here only fixed factors possible for both parameters</t>
      </text>
    </comment>
    <comment ref="R23" authorId="6" shapeId="0" xr:uid="{D99DAB62-A643-4F9E-8584-002FB985FCB3}">
      <text>
        <t>[Threaded comment]
Your version of Excel allows you to read this threaded comment; however, any edits to it will get removed if the file is opened in a newer version of Excel. Learn more: https://go.microsoft.com/fwlink/?linkid=870924
Comment:
    If Y_UP &gt;= Y_target - 3 then Y_gain = 10</t>
      </text>
    </comment>
    <comment ref="S23" authorId="7" shapeId="0" xr:uid="{48954304-C039-43EE-B179-E23DB0ED666D}">
      <text>
        <t>[Threaded comment]
Your version of Excel allows you to read this threaded comment; however, any edits to it will get removed if the file is opened in a newer version of Excel. Learn more: https://go.microsoft.com/fwlink/?linkid=870924
Comment:
    If Y_DP &gt;= Y_target then Y_gain = 10</t>
      </text>
    </comment>
    <comment ref="I25" authorId="8" shapeId="0" xr:uid="{8D1CDA77-B53B-497A-889F-ACA16CD59B78}">
      <text>
        <t>[Threaded comment]
Your version of Excel allows you to read this threaded comment; however, any edits to it will get removed if the file is opened in a newer version of Excel. Learn more: https://go.microsoft.com/fwlink/?linkid=870924
Comment:
    Raw subscore batch 1 (related to 100 max for batch 1)</t>
      </text>
    </comment>
    <comment ref="Q25" authorId="9" shapeId="0" xr:uid="{1D38ED02-6180-4A9F-A2EC-375B6E6DCABC}">
      <text>
        <t>[Threaded comment]
Your version of Excel allows you to read this threaded comment; however, any edits to it will get removed if the file is opened in a newer version of Excel. Learn more: https://go.microsoft.com/fwlink/?linkid=870924
Comment:
    Check total sub score batch 1, Needs to be 100</t>
      </text>
    </comment>
    <comment ref="R25" authorId="10" shapeId="0" xr:uid="{C3812F18-BFFB-47E3-AEBB-A554CA913753}">
      <text>
        <t>[Threaded comment]
Your version of Excel allows you to read this threaded comment; however, any edits to it will get removed if the file is opened in a newer version of Excel. Learn more: https://go.microsoft.com/fwlink/?linkid=870924
Comment:
    Contribution of batch 1 to total score in %</t>
      </text>
    </comment>
    <comment ref="I26" authorId="11" shapeId="0" xr:uid="{2EF2C268-96D8-4FB4-9110-DAA7EF795546}">
      <text>
        <t>[Threaded comment]
Your version of Excel allows you to read this threaded comment; however, any edits to it will get removed if the file is opened in a newer version of Excel. Learn more: https://go.microsoft.com/fwlink/?linkid=870924
Comment:
    Raw subscore batch 2 (related to 100 max for batch 2)</t>
      </text>
    </comment>
    <comment ref="Q26" authorId="12" shapeId="0" xr:uid="{126D8154-BFC5-4A58-9824-E6C249C982D5}">
      <text>
        <t>[Threaded comment]
Your version of Excel allows you to read this threaded comment; however, any edits to it will get removed if the file is opened in a newer version of Excel. Learn more: https://go.microsoft.com/fwlink/?linkid=870924
Comment:
    check</t>
      </text>
    </comment>
    <comment ref="R26" authorId="13" shapeId="0" xr:uid="{61653698-F529-46C8-B709-03BECCCA0A16}">
      <text>
        <t>[Threaded comment]
Your version of Excel allows you to read this threaded comment; however, any edits to it will get removed if the file is opened in a newer version of Excel. Learn more: https://go.microsoft.com/fwlink/?linkid=870924
Comment:
    Contribution of batch 2 to total score in %</t>
      </text>
    </comment>
    <comment ref="R27" authorId="14" shapeId="0" xr:uid="{74980B2A-7530-4CC5-B7F5-15B055999502}">
      <text>
        <t>[Threaded comment]
Your version of Excel allows you to read this threaded comment; however, any edits to it will get removed if the file is opened in a newer version of Excel. Learn more: https://go.microsoft.com/fwlink/?linkid=870924
Comment:
    See comment of the cell for details</t>
      </text>
    </comment>
    <comment ref="I31" authorId="15" shapeId="0" xr:uid="{032058F6-A5AC-4BBB-8BDE-7772F8A831BA}">
      <text>
        <t>[Threaded comment]
Your version of Excel allows you to read this threaded comment; however, any edits to it will get removed if the file is opened in a newer version of Excel. Learn more: https://go.microsoft.com/fwlink/?linkid=870924
Comment:
    In this column the calculations are made for the score, these calculations can be changed if you want to make a new proposal</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<sst xmlns="http://schemas.openxmlformats.org/spreadsheetml/2006/main" count="608" uniqueCount="359">
  <si>
    <t>Calculation of Technical Recyclability Scores for Paper Mill with conventional process</t>
  </si>
  <si>
    <t>Version</t>
  </si>
  <si>
    <t>2.1 (June 2026)</t>
  </si>
  <si>
    <t>Date</t>
  </si>
  <si>
    <t>Laboratory test method</t>
  </si>
  <si>
    <t>Paper and Board – Recyclability Laboratory Test Method – Part I: Paper mill with conventional process</t>
  </si>
  <si>
    <t>Cells in green should be filled by the user</t>
  </si>
  <si>
    <t>Cells in yellow are calculated automatically</t>
  </si>
  <si>
    <t>Input parameter</t>
  </si>
  <si>
    <t>Acronym</t>
  </si>
  <si>
    <t>Unit</t>
  </si>
  <si>
    <t>Input value</t>
  </si>
  <si>
    <t>Value</t>
  </si>
  <si>
    <t>Score
(points)</t>
  </si>
  <si>
    <t>Score range</t>
  </si>
  <si>
    <t>Description / Comment</t>
  </si>
  <si>
    <t>Parameter description</t>
  </si>
  <si>
    <t>Parameter 1</t>
  </si>
  <si>
    <t>Parameter 2</t>
  </si>
  <si>
    <t>Parameter 3</t>
  </si>
  <si>
    <t>Parameter 4</t>
  </si>
  <si>
    <t>Parameter 5</t>
  </si>
  <si>
    <t>Parameter 6</t>
  </si>
  <si>
    <t>Comment</t>
  </si>
  <si>
    <t>Type</t>
  </si>
  <si>
    <t>Interpretation</t>
  </si>
  <si>
    <t>Disintegration time</t>
  </si>
  <si>
    <t>min</t>
  </si>
  <si>
    <t>Disintegration time applied</t>
  </si>
  <si>
    <t>Puping time</t>
  </si>
  <si>
    <t>Total score &gt;0</t>
  </si>
  <si>
    <t>Technically recyclable in a paper mill with conventional process.</t>
  </si>
  <si>
    <t>Coarse reject</t>
  </si>
  <si>
    <t>CR</t>
  </si>
  <si>
    <t>0,0 - 100,0 %</t>
  </si>
  <si>
    <t>Weight percent of packaging retained by coarse screening and dry removed components</t>
  </si>
  <si>
    <t>Fine screening correction factor</t>
  </si>
  <si>
    <t>Total score &lt;0</t>
  </si>
  <si>
    <t>Not technically recyclable in a paper mill with conventional process.
Potentially recyclable in paper mills with other processes.</t>
  </si>
  <si>
    <t>Fine reject</t>
  </si>
  <si>
    <t>FR</t>
  </si>
  <si>
    <t>Weight percent of packaging retained by fine screening after coarse screening</t>
  </si>
  <si>
    <t>Total screening yield</t>
  </si>
  <si>
    <t>TSY</t>
  </si>
  <si>
    <t>min -100, max +100</t>
  </si>
  <si>
    <t>Total amount of packaging minus total screening reject using a correction factor, expressed in percent</t>
  </si>
  <si>
    <t>Total Screening Reject</t>
  </si>
  <si>
    <t>Total Screening Yield score 90 -100</t>
  </si>
  <si>
    <t>The packaging creates a high screening yield in a recycling mill with conventional process and is therefore considered Best in Class.</t>
  </si>
  <si>
    <t>Evaporation residue</t>
  </si>
  <si>
    <t>ER</t>
  </si>
  <si>
    <t>mg/g packaging</t>
  </si>
  <si>
    <t>min -200, max 0</t>
  </si>
  <si>
    <t>Mass of substances in the filtrate obtained after filtration of pulp after disintegration related to packaging mass in mg/g.  It is determined as Evaporation Residue (ER) and calculated as DCS Score</t>
  </si>
  <si>
    <t>DCS 
[mg/g packaging]</t>
  </si>
  <si>
    <t>Total Screening Yield score 70 - 89</t>
  </si>
  <si>
    <t>The packaging creates an acceptable screening yield, but the rejects could already have an impact in a recycling mill with conventional process.</t>
  </si>
  <si>
    <t>Sheet adhesion</t>
  </si>
  <si>
    <t>SA</t>
  </si>
  <si>
    <t>1-3 [Level]</t>
  </si>
  <si>
    <t>min knockout, max 0</t>
  </si>
  <si>
    <t>Evaluation of the tackiness of a handsheet from fine screening accept</t>
  </si>
  <si>
    <t>Knockout</t>
  </si>
  <si>
    <t>Total Screening Yield score 50 - 69</t>
  </si>
  <si>
    <t>The screening yield of the packaging is high for a recycling mill with conventional process, but it is suggested that the packaging should be further optimized for recycling.</t>
  </si>
  <si>
    <t>Visual impurities</t>
  </si>
  <si>
    <t>VI</t>
  </si>
  <si>
    <t>1-4 [Level]</t>
  </si>
  <si>
    <t>min -30, max 0</t>
  </si>
  <si>
    <t>Evaluation of the optical appearance of the pulp, evaluated at a handsheet from fine screening accept</t>
  </si>
  <si>
    <t>Total Screening Yield score 0 - 49</t>
  </si>
  <si>
    <t>This packaging creates a significant amount of rejects which can lead to technical problems in the screening step in a recycling mill with conventional process.</t>
  </si>
  <si>
    <t>Technical Recyclability Assessment</t>
  </si>
  <si>
    <t>Technical Recyclability Score</t>
  </si>
  <si>
    <t>Parameter type
legend</t>
  </si>
  <si>
    <t>Treshold</t>
  </si>
  <si>
    <t>Parameter for calculation</t>
  </si>
  <si>
    <t>Score</t>
  </si>
  <si>
    <t>Total Screening Yield score &lt;0</t>
  </si>
  <si>
    <t>The reject of this packaging is too high for the recycling process in a recycling mill with conventional process and should not be recycled in such a process.</t>
  </si>
  <si>
    <t>DCS score &gt; -3</t>
  </si>
  <si>
    <t>DCS expected to pose negligible issues in the process of a recycling mill with conventional process and is therefore considered Best in Class.</t>
  </si>
  <si>
    <t>Parameters for monitoring purpose</t>
  </si>
  <si>
    <t>DCS Score -3 ... -45</t>
  </si>
  <si>
    <t>DCS expected to have minor issues in the process of a recycling mill with conventional process.</t>
  </si>
  <si>
    <t>DCS Score -45 … -100</t>
  </si>
  <si>
    <t>DCS expected to have issues in the process of a recycling mill with conventional process and suggest further optimization.</t>
  </si>
  <si>
    <t>Adjusted Macrostickies Area</t>
  </si>
  <si>
    <r>
      <t>A</t>
    </r>
    <r>
      <rPr>
        <sz val="8"/>
        <color theme="1"/>
        <rFont val="Aptos Narrow"/>
        <scheme val="minor"/>
      </rPr>
      <t>MS</t>
    </r>
  </si>
  <si>
    <t>mm²/kg packaging</t>
  </si>
  <si>
    <t>min -40, max 0</t>
  </si>
  <si>
    <t>Evaluation of the macroscopic adhesive particles</t>
  </si>
  <si>
    <t>MSA</t>
  </si>
  <si>
    <t>DCS &lt; -100</t>
  </si>
  <si>
    <t>DCS expected to have major issues in the process of a recycling mill with conventional process. It is recommended to test this product with part III testing in future FBCP process.</t>
  </si>
  <si>
    <t>Visual impurities level 1</t>
  </si>
  <si>
    <t>Poses no visual quality issues.</t>
  </si>
  <si>
    <t>Visual impurities level 2</t>
  </si>
  <si>
    <t>Poses minor visual quality issues.</t>
  </si>
  <si>
    <t>Visual impurities level 3</t>
  </si>
  <si>
    <t xml:space="preserve">Poses noticeable visual quality issues </t>
  </si>
  <si>
    <t>Visual impurities level 4</t>
  </si>
  <si>
    <t xml:space="preserve">Poses significant visual quality issues.  </t>
  </si>
  <si>
    <t>Sheet adhesion level 1</t>
  </si>
  <si>
    <t>Poses no adhesion issues.</t>
  </si>
  <si>
    <t>Sheet adhesion level 2</t>
  </si>
  <si>
    <t>Poses minor adhesion issues.</t>
  </si>
  <si>
    <t>Sheet adhesion level 3</t>
  </si>
  <si>
    <t>Poses significant adhesion issues that can have a significant impact on the process in a recycling mill with conventional process.</t>
  </si>
  <si>
    <t>DSC [mg/g]</t>
  </si>
  <si>
    <t>DCS Score target</t>
  </si>
  <si>
    <t>slope</t>
  </si>
  <si>
    <t>Calculation of Technical Recyclability Scores for Paper Mill with flotation-deinking process</t>
  </si>
  <si>
    <t xml:space="preserve">Technical Recyclability Score for Recycling in mills with flotation-deinking process </t>
  </si>
  <si>
    <t>Score Interpretation</t>
  </si>
  <si>
    <t>0 – 100</t>
  </si>
  <si>
    <t>Technically recyclable in a with a Flotation-Deinking process.</t>
  </si>
  <si>
    <t>Paper and Board – Recyclability Laboratory Test Method – Part II: Paper mill with flotation-deinking process</t>
  </si>
  <si>
    <t>&lt; 0</t>
  </si>
  <si>
    <r>
      <t>Not</t>
    </r>
    <r>
      <rPr>
        <sz val="12"/>
        <color theme="1"/>
        <rFont val="Calibri"/>
        <family val="2"/>
      </rPr>
      <t xml:space="preserve"> </t>
    </r>
    <r>
      <rPr>
        <sz val="8"/>
        <color rgb="FF000000"/>
        <rFont val="Calibri"/>
        <family val="2"/>
      </rPr>
      <t>technically recyclable in a recycling mill with a Flotation-Deinking process .</t>
    </r>
  </si>
  <si>
    <t>Potentially recyclable in other mills with different recycling process types.*</t>
  </si>
  <si>
    <t>Calculated value</t>
  </si>
  <si>
    <t>Score
(raw)</t>
  </si>
  <si>
    <t>Score for visualisation</t>
  </si>
  <si>
    <t>Score for visualisation neg only</t>
  </si>
  <si>
    <t>Batch 1</t>
  </si>
  <si>
    <t>N/A</t>
  </si>
  <si>
    <t>Total screening Yield score</t>
  </si>
  <si>
    <t>Sheet adhesion score</t>
  </si>
  <si>
    <t>Dissolved and Colloidal Substances Score</t>
  </si>
  <si>
    <t>COD Score</t>
  </si>
  <si>
    <t>Level</t>
  </si>
  <si>
    <t>Description</t>
  </si>
  <si>
    <t>min -50, max. +50</t>
  </si>
  <si>
    <t>Calculated sum of coarse and fine reject, using a correction factor for the fine screening reject value</t>
  </si>
  <si>
    <r>
      <t>The packaging creates a high screening yield in a recycling mill with flotation-deinking process</t>
    </r>
    <r>
      <rPr>
        <sz val="12"/>
        <color theme="1"/>
        <rFont val="Calibri"/>
        <family val="2"/>
      </rPr>
      <t xml:space="preserve"> </t>
    </r>
    <r>
      <rPr>
        <sz val="10"/>
        <color theme="1"/>
        <rFont val="Calibri"/>
        <family val="2"/>
      </rPr>
      <t>and is therefore considered Best in Class.</t>
    </r>
  </si>
  <si>
    <t>DCS expected not to pose any issue in a recycling mill with flotation-deinking process.</t>
  </si>
  <si>
    <t>COD expected not to pose any impacts a recycling mill with flotation-deinking process.</t>
  </si>
  <si>
    <t>COD value</t>
  </si>
  <si>
    <t>COD</t>
  </si>
  <si>
    <t>min -10, max +10</t>
  </si>
  <si>
    <t>Indicative parameter for process water quality measured by the amount of oxygen needed by chemical oxidation with dichromate. High values indicate risks for deposits and risks in waste water treatment</t>
  </si>
  <si>
    <t>21-39</t>
  </si>
  <si>
    <t>The screening yield of the packaging is acceptable for a recycling mill with flotation-deinking process.</t>
  </si>
  <si>
    <t>DCS expected to have minor issues in a recycling mill with flotation-deinking process.</t>
  </si>
  <si>
    <t>COD expected to have minor impact on a recycling mill with flotation-deinking process.</t>
  </si>
  <si>
    <t xml:space="preserve">Evaporation residue </t>
  </si>
  <si>
    <t>Mass of solid materials in the filtrate related to packaging mass in mg/g packaging.  It is determined as Evaporation Residue (ER), calculated as DCS Score</t>
  </si>
  <si>
    <t>Dissolved and Colloidal Substances (DCS)</t>
  </si>
  <si>
    <t>0-20</t>
  </si>
  <si>
    <t>This packaging creates a significant amount of rejects which can lead to technical problems in the screening step in recycling mill with flotation-deinking process.</t>
  </si>
  <si>
    <t>Poses significant adhesion issues that can have a significant impact on the process of a recycling mill with flotation-deinking process and is therefore not recyclable in this process.</t>
  </si>
  <si>
    <t>0-4</t>
  </si>
  <si>
    <t>DCS expected to have issues in a recycling mill with flotation-deinking process and suggest further optimization.</t>
  </si>
  <si>
    <t>COD expected to have adverse impact on a recycling mill with flotation-deinking process.</t>
  </si>
  <si>
    <t>1 - 4 [Level]</t>
  </si>
  <si>
    <t>min -30, max +30</t>
  </si>
  <si>
    <t>Evaluation of the tackiness of a handsheet from the accept of fine screening</t>
  </si>
  <si>
    <t>&lt;0</t>
  </si>
  <si>
    <t>The reject of this packaging is too high for a recycling mill with flotation-deinking process and should not be recycled in such a process.</t>
  </si>
  <si>
    <t>DCS expected to have major issues in a recycling mill with flotation-deinking process and is therefore not recyclable in this process.</t>
  </si>
  <si>
    <t>COD expected to have major adverse impact on a recycling mill with flotation-deinking process and is therefore not recyclable in this process.</t>
  </si>
  <si>
    <t>Macrostickies (MSA) &lt;2000 µm
(mm²/kg)</t>
  </si>
  <si>
    <t xml:space="preserve">not used </t>
  </si>
  <si>
    <t>Batch 2</t>
  </si>
  <si>
    <t xml:space="preserve">UP luminosity </t>
  </si>
  <si>
    <t>Y UP</t>
  </si>
  <si>
    <t>%</t>
  </si>
  <si>
    <t>---</t>
  </si>
  <si>
    <t>Luminosity of the pulp before flotation</t>
  </si>
  <si>
    <t>DP luminosity</t>
  </si>
  <si>
    <t>Y DP</t>
  </si>
  <si>
    <t>min -35, max +35</t>
  </si>
  <si>
    <t>Luminosity of pulp after flotation</t>
  </si>
  <si>
    <t>colour shade (a*)</t>
  </si>
  <si>
    <t>a*</t>
  </si>
  <si>
    <t>-</t>
  </si>
  <si>
    <t>min -20, max +20</t>
  </si>
  <si>
    <t>Shade parameter of deinked pulp from green to red (corridor)</t>
  </si>
  <si>
    <t>DP Luminosity Score</t>
  </si>
  <si>
    <t>Colour Shade Score</t>
  </si>
  <si>
    <t>Dirt Speck Area A50 Score</t>
  </si>
  <si>
    <t>Dirt specks area (A50)</t>
  </si>
  <si>
    <t>A50</t>
  </si>
  <si>
    <t>mm²/m²</t>
  </si>
  <si>
    <t>min -15, max, +15</t>
  </si>
  <si>
    <r>
      <t xml:space="preserve">Dirt particle area for particles larger than 50 </t>
    </r>
    <r>
      <rPr>
        <sz val="12"/>
        <color theme="1"/>
        <rFont val="Aptos Narrow"/>
        <family val="2"/>
        <scheme val="minor"/>
      </rPr>
      <t>μ</t>
    </r>
    <r>
      <rPr>
        <sz val="11"/>
        <color theme="1"/>
        <rFont val="Aptos Narrow"/>
        <family val="2"/>
        <scheme val="minor"/>
      </rPr>
      <t>m (circle equivalent diameter)</t>
    </r>
  </si>
  <si>
    <t>Dirt specks area (A250)</t>
  </si>
  <si>
    <t>A250</t>
  </si>
  <si>
    <t>min -10, max, +10</t>
  </si>
  <si>
    <r>
      <t xml:space="preserve">Dirt particle area for particles larger than 250 </t>
    </r>
    <r>
      <rPr>
        <sz val="12"/>
        <color theme="1"/>
        <rFont val="Aptos Narrow"/>
        <family val="2"/>
        <scheme val="minor"/>
      </rPr>
      <t>μ</t>
    </r>
    <r>
      <rPr>
        <sz val="11"/>
        <color theme="1"/>
        <rFont val="Aptos Narrow"/>
        <family val="2"/>
        <scheme val="minor"/>
      </rPr>
      <t>m (circle equivalent diameter)</t>
    </r>
  </si>
  <si>
    <t>The deinked pulp has a high luminosity.</t>
  </si>
  <si>
    <t>This packaging creates a neutral white pulp.</t>
  </si>
  <si>
    <t>This packaging creates no or nearly no total dirt specks</t>
  </si>
  <si>
    <t>Ink Elimination (IE)
(%)</t>
  </si>
  <si>
    <t>Luminosity increase during flotation by removal of coloured content (printing ink)</t>
  </si>
  <si>
    <t>no longer used, replaced by Y Gain</t>
  </si>
  <si>
    <t>20-34</t>
  </si>
  <si>
    <t>The luminosity of the deinked pulp is suitable for most recycled products.</t>
  </si>
  <si>
    <t>This packaging produces some colour change of the recycled product.</t>
  </si>
  <si>
    <t>This packaging creates some total dirt specks.</t>
  </si>
  <si>
    <t>Luminosity gain (YG)</t>
  </si>
  <si>
    <t>YG</t>
  </si>
  <si>
    <t>Luminosity increase during flotation by removal of coloured content (ink)</t>
  </si>
  <si>
    <t>The luminosity of the deinked pulp is accaptable for the production of products like newsprints. Production of paper or board with high luminosity requirements is not recommended.</t>
  </si>
  <si>
    <t>0-9</t>
  </si>
  <si>
    <t>This packaging produces a coloured pulp after flotation. A shade correction is necessary which reduces the luminosity of the recycled product.</t>
  </si>
  <si>
    <t>This packaging creates a high amount of total dirt specks.</t>
  </si>
  <si>
    <t>Filtrate darkening</t>
  </si>
  <si>
    <r>
      <rPr>
        <sz val="11"/>
        <color theme="1"/>
        <rFont val="Symbol"/>
        <family val="1"/>
        <charset val="2"/>
      </rPr>
      <t>D</t>
    </r>
    <r>
      <rPr>
        <sz val="11"/>
        <color theme="1"/>
        <rFont val="Aptos Narrow"/>
        <family val="2"/>
        <scheme val="minor"/>
      </rPr>
      <t>Y</t>
    </r>
  </si>
  <si>
    <t>Staining of deinking line water-loop from soluble or colloidal ink</t>
  </si>
  <si>
    <t>This product has major luminosity issues and is not recyclable in a recycling mill with flotation-deinking process.</t>
  </si>
  <si>
    <t>This packaging produces a strongly coloured pulp after flotation and is not recyclable in a recycling mill with flotation-deinking process.</t>
  </si>
  <si>
    <t>This packaging creates a very high amount of total dirt specks and is not recyclable in a recycling mill with flotation-deinking process.</t>
  </si>
  <si>
    <t>Subscore batch 1</t>
  </si>
  <si>
    <t>Subscore batch 1 parameters (50 % of total score)</t>
  </si>
  <si>
    <t>Subscore batch 2</t>
  </si>
  <si>
    <t>Subscore batch 2 parameters (50 % of total score)</t>
  </si>
  <si>
    <t>Target</t>
  </si>
  <si>
    <t>other</t>
  </si>
  <si>
    <t>Dirt Speck Area A250 Score</t>
  </si>
  <si>
    <t>Luminosity Gain Score</t>
  </si>
  <si>
    <t>Filtrate Darkening Score</t>
  </si>
  <si>
    <t>min -15, max 15</t>
  </si>
  <si>
    <t>Macrosticky</t>
  </si>
  <si>
    <t>This packaging creates no or nearly no large dirt specks.</t>
  </si>
  <si>
    <t>The luminosity gain in the flotation process is good.</t>
  </si>
  <si>
    <t>This packaging has nearly no or no effect on the colour of the water loop.</t>
  </si>
  <si>
    <t>Assessment</t>
  </si>
  <si>
    <t>This packaging creates some large dirt specks.</t>
  </si>
  <si>
    <t>The luminosity gain in the flotation process is acceptable.</t>
  </si>
  <si>
    <t>This packaging slightly stains the water loop.</t>
  </si>
  <si>
    <t>Not technically recyclable in a paper mill with flotation-deinking process. 
Potentially recyclable in paper mills with other processes.</t>
  </si>
  <si>
    <t>This packaging creates a high amount of large dirt specks.</t>
  </si>
  <si>
    <t>The luminosity gain in the flotation process is low.</t>
  </si>
  <si>
    <t>This packaging creates a dark water loop and has the protential to lower the luminosity of the final recycled product in industry.</t>
  </si>
  <si>
    <t>Technically recyclable in a paper mill with flotation-deinking process</t>
  </si>
  <si>
    <t>This packaging creates a very high amount of large dirt specks and is not recyclable in a recycling mill with flotation-deinking process.</t>
  </si>
  <si>
    <t>The luminosity gain in the flotation process is insufficient. This product is not recyclable in a recycling mill with flotation-deinking process.</t>
  </si>
  <si>
    <t>This packaging creates a very dark water loop and lowers the luminosity of the final recycled product in industry. It is not recyclable in a recycling mill with flotation-deinking process.</t>
  </si>
  <si>
    <t>Calculation of Technical Recyclability Scores for Paper Mill with specialised process (LPC)</t>
  </si>
  <si>
    <t>Paper and Board – Recyclability Laboratory Test Method – Part III: Paper mill with specialised process (LPC)</t>
  </si>
  <si>
    <t>Recycling mill with specialised process (LPC)</t>
  </si>
  <si>
    <t>Score (raw)</t>
  </si>
  <si>
    <r>
      <t xml:space="preserve">Score (points) </t>
    </r>
    <r>
      <rPr>
        <b/>
        <u/>
        <sz val="11"/>
        <color theme="1"/>
        <rFont val="Aptos Narrow"/>
        <family val="2"/>
        <scheme val="minor"/>
      </rPr>
      <t>without p</t>
    </r>
    <r>
      <rPr>
        <b/>
        <sz val="11"/>
        <color theme="1"/>
        <rFont val="Aptos Narrow"/>
        <family val="2"/>
        <scheme val="minor"/>
      </rPr>
      <t>olyAl</t>
    </r>
  </si>
  <si>
    <r>
      <rPr>
        <b/>
        <sz val="10"/>
        <color rgb="FF000000"/>
        <rFont val="Arial"/>
        <family val="2"/>
      </rPr>
      <t xml:space="preserve">Score (points)
</t>
    </r>
    <r>
      <rPr>
        <b/>
        <u/>
        <sz val="11"/>
        <color rgb="FF000000"/>
        <rFont val="Aptos Narrow"/>
      </rPr>
      <t>with p</t>
    </r>
    <r>
      <rPr>
        <b/>
        <sz val="11"/>
        <color rgb="FF000000"/>
        <rFont val="Aptos Narrow"/>
      </rPr>
      <t>olyAl</t>
    </r>
  </si>
  <si>
    <t>Description / comment</t>
  </si>
  <si>
    <t>score for visualisation WITHOUT</t>
  </si>
  <si>
    <t>score for visualisation WITH</t>
  </si>
  <si>
    <t>Is there polyAl recycling?</t>
  </si>
  <si>
    <t>yes</t>
  </si>
  <si>
    <t>Minimum % to recover fibres</t>
  </si>
  <si>
    <t>α-factor</t>
  </si>
  <si>
    <t>Technical data sheet available?</t>
  </si>
  <si>
    <t>no</t>
  </si>
  <si>
    <t>Use when data sheet information is available (and reliable)
Default value is "no".</t>
  </si>
  <si>
    <t>Theoretical paper fibre content [wt%]</t>
  </si>
  <si>
    <t>PolyAl compliant with DfR Guidelines?</t>
  </si>
  <si>
    <t>Check if fully and/or conditionally compatible with Specialised mills (LPC)</t>
  </si>
  <si>
    <t>Desintegration time used (informative)</t>
  </si>
  <si>
    <t>time</t>
  </si>
  <si>
    <t>Coarse and Fine reject
after 10 minutes desintegration time</t>
  </si>
  <si>
    <t>Yield score</t>
  </si>
  <si>
    <t>PolyAl quantity and reject quality 
after 10 minutes disintegration time</t>
  </si>
  <si>
    <t>Coarse reject quality (Fibre Content related)</t>
  </si>
  <si>
    <t>ɣ-factor</t>
  </si>
  <si>
    <t>Coarse reject quality
(Fibre content related)</t>
  </si>
  <si>
    <t>CRQ</t>
  </si>
  <si>
    <t>1 - 4 [level]</t>
  </si>
  <si>
    <t xml:space="preserve">Sheet adhesion </t>
  </si>
  <si>
    <t>traffic light</t>
  </si>
  <si>
    <t>Ash content</t>
  </si>
  <si>
    <t>ASH</t>
  </si>
  <si>
    <t>TBD</t>
  </si>
  <si>
    <t xml:space="preserve">Tensile index </t>
  </si>
  <si>
    <t>TI</t>
  </si>
  <si>
    <t>Nm/g</t>
  </si>
  <si>
    <t>Theoretical recyclable rejects (white box)</t>
  </si>
  <si>
    <t>RR</t>
  </si>
  <si>
    <t>The amount of rejects (theoretically) expected after an infinite disintegration time</t>
  </si>
  <si>
    <t>Threshold</t>
  </si>
  <si>
    <t>Targets</t>
  </si>
  <si>
    <t>sum negative</t>
  </si>
  <si>
    <t>total score</t>
  </si>
  <si>
    <t>KO's</t>
  </si>
  <si>
    <t xml:space="preserve">Note: </t>
  </si>
  <si>
    <t>White box information will appear when a data sheet is available (E11 = "yes" and E23 has value)</t>
  </si>
  <si>
    <t>mm2/kg packaging</t>
  </si>
  <si>
    <t>min -20, max 0</t>
  </si>
  <si>
    <t>Macrosticky with EPRC size class correction</t>
  </si>
  <si>
    <t>Total score</t>
  </si>
  <si>
    <t>Technical Recyclbility Score 
Recycling mill with specialised process</t>
  </si>
  <si>
    <t>Coarse Reject Quality</t>
  </si>
  <si>
    <t>Properties (compositional, mechanical)</t>
  </si>
  <si>
    <r>
      <t>/</t>
    </r>
    <r>
      <rPr>
        <sz val="11"/>
        <color rgb="FF000000"/>
        <rFont val="Calibri"/>
        <family val="2"/>
      </rPr>
      <t>100</t>
    </r>
  </si>
  <si>
    <t xml:space="preserve">
</t>
  </si>
  <si>
    <t>Values</t>
  </si>
  <si>
    <r>
      <rPr>
        <sz val="11"/>
        <color rgb="FF000000"/>
        <rFont val="Aptos Narrow"/>
        <family val="2"/>
      </rPr>
      <t>≥</t>
    </r>
    <r>
      <rPr>
        <sz val="11"/>
        <color rgb="FF000000"/>
        <rFont val="Calibri"/>
        <family val="2"/>
      </rPr>
      <t xml:space="preserve">50 and no KO
Technically recyclable in a recycling mill with specialised process (UBC)
 </t>
    </r>
  </si>
  <si>
    <t>Level 1</t>
  </si>
  <si>
    <t>Packaging expected not to pose any repulping issue in the specialised mill (UBC) and is therefore considered Best in Class.</t>
  </si>
  <si>
    <r>
      <t xml:space="preserve">Poses </t>
    </r>
    <r>
      <rPr>
        <b/>
        <sz val="11"/>
        <color rgb="FF000000"/>
        <rFont val="Calibri"/>
        <family val="2"/>
      </rPr>
      <t>no visual quality issues.</t>
    </r>
  </si>
  <si>
    <t>Poses no adhesion issues</t>
  </si>
  <si>
    <t>Ash content below and tensile index above target</t>
  </si>
  <si>
    <t>Properties expected to fulfil high pulp quality demands of the specialised mill (UBC) and is therefore considered Best in Class.</t>
  </si>
  <si>
    <t>Level 2</t>
  </si>
  <si>
    <t>-15% *CR</t>
  </si>
  <si>
    <t>Packaging has minor repulping issues that slightly lowers the quality of the Polyal as more efforts are needed to separate the attached fibres in the Polyal recycling process.</t>
  </si>
  <si>
    <r>
      <t>Poses</t>
    </r>
    <r>
      <rPr>
        <b/>
        <sz val="11"/>
        <color rgb="FF000000"/>
        <rFont val="Calibri"/>
        <family val="2"/>
      </rPr>
      <t xml:space="preserve"> minor visual quality issues</t>
    </r>
    <r>
      <rPr>
        <sz val="11"/>
        <color rgb="FF000000"/>
        <rFont val="Calibri"/>
        <family val="2"/>
      </rPr>
      <t xml:space="preserve"> that are considered acceptable in the UBC mill.</t>
    </r>
  </si>
  <si>
    <t>Level 3</t>
  </si>
  <si>
    <t>-30% *CR</t>
  </si>
  <si>
    <t>Packaging has repulping issues that lowers the fibre yield for the mill. It also reduces the quality of the Polyal as more efforts are needed to separate the attached fibres in the Polyal recycling process.</t>
  </si>
  <si>
    <r>
      <t>Poses</t>
    </r>
    <r>
      <rPr>
        <b/>
        <sz val="11"/>
        <color rgb="FF000000"/>
        <rFont val="Calibri"/>
        <family val="2"/>
      </rPr>
      <t xml:space="preserve"> visual quality issues</t>
    </r>
    <r>
      <rPr>
        <sz val="11"/>
        <color rgb="FF000000"/>
        <rFont val="Calibri"/>
        <family val="2"/>
      </rPr>
      <t xml:space="preserve"> that are currently still considered acceptable in the UBC mill.</t>
    </r>
  </si>
  <si>
    <t>Poses minor adhesion issues that can be accepted in the mix</t>
  </si>
  <si>
    <t>Ash content and tensile index in between target and threshold</t>
  </si>
  <si>
    <t>Properties expected not to pose significant issue in the recycling process of the specialised mill (UBC) and is therefore considered acceptable. Once more data are available a score deduction can be considered.</t>
  </si>
  <si>
    <t xml:space="preserve"> &lt;50 or KO('s)
Not technically recyclable in a recycling mill with specialised process (UBC). 
Potentially recyclable in a recycling mill with specialised process (FBCP).</t>
  </si>
  <si>
    <t>Level 4</t>
  </si>
  <si>
    <t>KO</t>
  </si>
  <si>
    <t>Packaging has major repulping issues and is considered not to be suitable for recycling in a specialised mill (UBC).</t>
  </si>
  <si>
    <r>
      <t xml:space="preserve">Poses </t>
    </r>
    <r>
      <rPr>
        <b/>
        <sz val="11"/>
        <color rgb="FF000000"/>
        <rFont val="Calibri"/>
        <family val="2"/>
      </rPr>
      <t>significant visual quality issues</t>
    </r>
    <r>
      <rPr>
        <sz val="11"/>
        <color rgb="FF000000"/>
        <rFont val="Calibri"/>
        <family val="2"/>
      </rPr>
      <t xml:space="preserve"> that are considered not acceptable in the UBC mill. </t>
    </r>
  </si>
  <si>
    <t>Poses significant adhesion issues that can have a significant impact on the process in a specialised mill (UBC)</t>
  </si>
  <si>
    <t>Ash content and tensile index in outside threshold</t>
  </si>
  <si>
    <t>Mechanical properties expected not to fulfil high pulp quality demands of the specialised mill (UBC) and is therefore considered not suitable for the recycling process of the specialised mill (UBC).</t>
  </si>
  <si>
    <t>Recycling mill with specialised process (FBCP)</t>
  </si>
  <si>
    <t>high</t>
  </si>
  <si>
    <t>medium</t>
  </si>
  <si>
    <t>partly recyclable</t>
  </si>
  <si>
    <t>low</t>
  </si>
  <si>
    <t>Not compatible with polyAl recycling</t>
  </si>
  <si>
    <t>Technically recyclable in a paper mill with specialised process (LPC).</t>
  </si>
  <si>
    <t>Not technically recyclable in a paper mill with specialised process (LPC).
Potentially recyclable in a recycling mill with specialised process (FBCP).</t>
  </si>
  <si>
    <r>
      <rPr>
        <sz val="11"/>
        <color rgb="FF000000"/>
        <rFont val="Aptos Narrow"/>
        <scheme val="minor"/>
      </rPr>
      <t>In this tab you can calculate your A</t>
    </r>
    <r>
      <rPr>
        <sz val="8"/>
        <color rgb="FF000000"/>
        <rFont val="Aptos Narrow"/>
        <scheme val="minor"/>
      </rPr>
      <t>MS</t>
    </r>
    <r>
      <rPr>
        <sz val="11"/>
        <color rgb="FF000000"/>
        <rFont val="Aptos Narrow"/>
        <scheme val="minor"/>
      </rPr>
      <t xml:space="preserve"> which are relevent for both scorecard approaches</t>
    </r>
  </si>
  <si>
    <t>Therefore you have to add your MS values and coarse reject from the labtemplate here.</t>
  </si>
  <si>
    <t>Macrostickyies analysis - average</t>
  </si>
  <si>
    <r>
      <t>A</t>
    </r>
    <r>
      <rPr>
        <sz val="8"/>
        <color theme="1"/>
        <rFont val="Aptos Narrow"/>
        <scheme val="minor"/>
      </rPr>
      <t>600</t>
    </r>
  </si>
  <si>
    <t>mm²/kg initial sample</t>
  </si>
  <si>
    <r>
      <t>A</t>
    </r>
    <r>
      <rPr>
        <sz val="8"/>
        <color theme="1"/>
        <rFont val="Aptos Narrow"/>
        <scheme val="minor"/>
      </rPr>
      <t>1000</t>
    </r>
  </si>
  <si>
    <r>
      <t>A</t>
    </r>
    <r>
      <rPr>
        <sz val="8"/>
        <color theme="1"/>
        <rFont val="Aptos Narrow"/>
        <scheme val="minor"/>
      </rPr>
      <t>2000</t>
    </r>
  </si>
  <si>
    <r>
      <t>A</t>
    </r>
    <r>
      <rPr>
        <sz val="8"/>
        <color rgb="FF000000"/>
        <rFont val="Calibri"/>
        <family val="2"/>
      </rPr>
      <t>MS</t>
    </r>
    <r>
      <rPr>
        <sz val="11"/>
        <color rgb="FF000000"/>
        <rFont val="Calibri"/>
        <family val="2"/>
      </rPr>
      <t xml:space="preserve"> </t>
    </r>
  </si>
  <si>
    <t>&lt;&lt;&lt;&lt; this is the value for the Scorecard</t>
  </si>
  <si>
    <t xml:space="preserve">Macrostickie single values </t>
  </si>
  <si>
    <t>Screening 1</t>
  </si>
  <si>
    <t>Screening 2</t>
  </si>
  <si>
    <t>Mean</t>
  </si>
  <si>
    <t>Area Iso 100 - 200 (µm)</t>
  </si>
  <si>
    <t>mm²/kg</t>
  </si>
  <si>
    <t>Area Iso 200 - 300 (µm)</t>
  </si>
  <si>
    <t>Area Iso 300 - 400 (µm)</t>
  </si>
  <si>
    <t>Area Iso 400 - 500 (µm)</t>
  </si>
  <si>
    <t>Area Iso 500 - 600 (µm)</t>
  </si>
  <si>
    <t>Area Iso 600 - 1000 (µm)</t>
  </si>
  <si>
    <t>Area Iso 1000 - 1500 (µm)</t>
  </si>
  <si>
    <t>Area Iso 1500 - 2000 (µm)</t>
  </si>
  <si>
    <t>Area Iso 2000 - 3000 (µm)</t>
  </si>
  <si>
    <t>Area Iso 3000 - 5000 (µm)</t>
  </si>
  <si>
    <t>Area Iso 5000 - 10.000 (µm)</t>
  </si>
  <si>
    <t>Area Iso 10.000 - 20.000 (µm)</t>
  </si>
  <si>
    <t>Area Iso 20.000 - 50.000 (µm)</t>
  </si>
  <si>
    <t>Area Iso 50.000 - 200.000 (µm)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</si>
</sst>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 \ \ "/>
    <numFmt numFmtId="165" formatCode="#,##0.0"/>
    <numFmt numFmtId="166" formatCode="0.0"/>
    <numFmt numFmtId="167" formatCode="&quot;total: &quot;General"/>
    <numFmt numFmtId="168" formatCode="0.000"/>
  </numFmts>
  <fonts count="51">
    <font>
      <sz val="11"/>
      <color theme="1"/>
      <name val="Aptos Narrow"/>
      <family val="2"/>
      <scheme val="minor"/>
    </font>
    <font>
      <sz val="12"/>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6"/>
      <color rgb="FF000000"/>
      <name val="Arial"/>
      <family val="2"/>
    </font>
    <font>
      <sz val="10"/>
      <color rgb="FF000000"/>
      <name val="Arial"/>
      <family val="2"/>
    </font>
    <font>
      <b/>
      <sz val="10"/>
      <color indexed="10"/>
      <name val="Arial"/>
      <family val="2"/>
    </font>
    <font>
      <sz val="12"/>
      <color rgb="FF000000"/>
      <name val="Arial"/>
      <family val="2"/>
    </font>
    <font>
      <b/>
      <sz val="10"/>
      <name val="Arial"/>
      <family val="2"/>
    </font>
    <font>
      <sz val="10"/>
      <name val="Arial"/>
      <family val="2"/>
    </font>
    <font>
      <sz val="11"/>
      <color theme="0" tint="-0.34998626667073579"/>
      <name val="Aptos Narrow"/>
      <family val="2"/>
      <scheme val="minor"/>
    </font>
    <font>
      <sz val="11"/>
      <color theme="0" tint="-0.249977111117893"/>
      <name val="Aptos Narrow"/>
      <family val="2"/>
      <scheme val="minor"/>
    </font>
    <font>
      <b/>
      <sz val="18"/>
      <color theme="1"/>
      <name val="Aptos Narrow"/>
      <family val="2"/>
      <scheme val="minor"/>
    </font>
    <font>
      <sz val="11"/>
      <color theme="0" tint="-0.499984740745262"/>
      <name val="Aptos Narrow"/>
      <family val="2"/>
      <scheme val="minor"/>
    </font>
    <font>
      <i/>
      <sz val="10"/>
      <name val="Arial"/>
      <family val="2"/>
    </font>
    <font>
      <i/>
      <sz val="11"/>
      <color theme="0" tint="-0.249977111117893"/>
      <name val="Aptos Narrow"/>
      <family val="2"/>
      <scheme val="minor"/>
    </font>
    <font>
      <b/>
      <i/>
      <sz val="11"/>
      <color theme="0" tint="-0.249977111117893"/>
      <name val="Aptos Narrow"/>
      <family val="2"/>
      <scheme val="minor"/>
    </font>
    <font>
      <sz val="11"/>
      <color theme="1"/>
      <name val="Aptos Narrow"/>
      <family val="1"/>
      <charset val="2"/>
      <scheme val="minor"/>
    </font>
    <font>
      <sz val="11"/>
      <color theme="1"/>
      <name val="Symbol"/>
      <family val="1"/>
      <charset val="2"/>
    </font>
    <font>
      <b/>
      <sz val="11"/>
      <color theme="0" tint="-0.499984740745262"/>
      <name val="Aptos Narrow"/>
      <family val="2"/>
      <scheme val="minor"/>
    </font>
    <font>
      <sz val="11"/>
      <name val="Aptos Narrow"/>
      <family val="2"/>
      <scheme val="minor"/>
    </font>
    <font>
      <b/>
      <sz val="11"/>
      <color rgb="FFFF0000"/>
      <name val="Aptos Narrow"/>
      <family val="2"/>
      <scheme val="minor"/>
    </font>
    <font>
      <b/>
      <sz val="11"/>
      <name val="Aptos Narrow"/>
      <family val="2"/>
      <scheme val="minor"/>
    </font>
    <font>
      <i/>
      <sz val="11"/>
      <color theme="1"/>
      <name val="Aptos Narrow"/>
      <family val="2"/>
      <scheme val="minor"/>
    </font>
    <font>
      <b/>
      <sz val="12"/>
      <color theme="1"/>
      <name val="Aptos Narrow"/>
      <family val="2"/>
      <scheme val="minor"/>
    </font>
    <font>
      <b/>
      <sz val="14"/>
      <name val="Aptos Narrow"/>
      <family val="2"/>
      <scheme val="minor"/>
    </font>
    <font>
      <b/>
      <u/>
      <sz val="11"/>
      <color theme="1"/>
      <name val="Aptos Narrow"/>
      <family val="2"/>
      <scheme val="minor"/>
    </font>
    <font>
      <sz val="14"/>
      <name val="Aptos Narrow"/>
      <family val="2"/>
      <scheme val="minor"/>
    </font>
    <font>
      <sz val="14"/>
      <color theme="1"/>
      <name val="Aptos Narrow"/>
      <family val="2"/>
    </font>
    <font>
      <b/>
      <sz val="11"/>
      <name val="Arial"/>
      <family val="2"/>
    </font>
    <font>
      <sz val="11"/>
      <color rgb="FF000000"/>
      <name val="Aptos Narrow"/>
      <family val="2"/>
      <scheme val="minor"/>
    </font>
    <font>
      <b/>
      <sz val="14"/>
      <color theme="1"/>
      <name val="Aptos Narrow"/>
      <family val="2"/>
      <scheme val="minor"/>
    </font>
    <font>
      <sz val="8"/>
      <color rgb="FF000000"/>
      <name val="Calibri"/>
      <family val="2"/>
    </font>
    <font>
      <b/>
      <sz val="11"/>
      <color rgb="FF000000"/>
      <name val="Calibri"/>
      <family val="2"/>
    </font>
    <font>
      <b/>
      <sz val="11"/>
      <name val="Calibri"/>
      <family val="2"/>
    </font>
    <font>
      <i/>
      <sz val="11"/>
      <color rgb="FF000000"/>
      <name val="Calibri"/>
      <family val="2"/>
    </font>
    <font>
      <sz val="11"/>
      <color rgb="FF000000"/>
      <name val="Calibri"/>
      <family val="2"/>
    </font>
    <font>
      <sz val="11"/>
      <color rgb="FF000000"/>
      <name val="Aptos Narrow"/>
      <family val="2"/>
    </font>
    <font>
      <sz val="11"/>
      <name val="Calibri"/>
      <family val="2"/>
    </font>
    <font>
      <sz val="10"/>
      <color theme="1"/>
      <name val="Calibri"/>
      <family val="2"/>
    </font>
    <font>
      <sz val="12"/>
      <color theme="1"/>
      <name val="Calibri"/>
      <family val="2"/>
    </font>
    <font>
      <b/>
      <sz val="12"/>
      <color theme="1"/>
      <name val="Calibri"/>
      <family val="2"/>
    </font>
    <font>
      <b/>
      <sz val="10"/>
      <color rgb="FF000000"/>
      <name val="Arial"/>
      <family val="2"/>
    </font>
    <font>
      <b/>
      <u/>
      <sz val="11"/>
      <color rgb="FF000000"/>
      <name val="Aptos Narrow"/>
    </font>
    <font>
      <b/>
      <sz val="11"/>
      <color rgb="FF000000"/>
      <name val="Aptos Narrow"/>
    </font>
    <font>
      <b/>
      <sz val="18"/>
      <color theme="1"/>
      <name val="Aptos Narrow"/>
      <scheme val="minor"/>
    </font>
    <font>
      <sz val="11"/>
      <color rgb="FFFF0000"/>
      <name val="Calibri"/>
      <family val="2"/>
    </font>
    <font>
      <sz val="8"/>
      <color theme="1"/>
      <name val="Aptos Narrow"/>
      <scheme val="minor"/>
    </font>
    <font>
      <sz val="11"/>
      <color rgb="FF000000"/>
      <name val="Aptos Narrow"/>
      <scheme val="minor"/>
    </font>
    <font>
      <sz val="8"/>
      <color rgb="FF000000"/>
      <name val="Aptos Narrow"/>
      <scheme val="minor"/>
    </font>
  </fonts>
  <fills count="26">
    <fill>
      <patternFill patternType="none"/>
    </fill>
    <fill>
      <patternFill patternType="gray125"/>
    </fill>
    <fill>
      <patternFill patternType="solid">
        <fgColor rgb="FFFFFFCC"/>
        <bgColor indexed="64"/>
      </patternFill>
    </fill>
    <fill>
      <patternFill patternType="solid">
        <fgColor theme="0" tint="-0.2499465926084170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lightUp">
        <fgColor theme="0" tint="-0.24994659260841701"/>
        <bgColor theme="0"/>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rgb="FF9BBB59"/>
        <bgColor indexed="64"/>
      </patternFill>
    </fill>
    <fill>
      <patternFill patternType="solid">
        <fgColor theme="7" tint="0.79998168889431442"/>
        <bgColor indexed="64"/>
      </patternFill>
    </fill>
    <fill>
      <patternFill patternType="solid">
        <fgColor indexed="46"/>
        <bgColor indexed="64"/>
      </patternFill>
    </fill>
    <fill>
      <patternFill patternType="solid">
        <fgColor rgb="FFF7A597"/>
        <bgColor indexed="64"/>
      </patternFill>
    </fill>
    <fill>
      <patternFill patternType="solid">
        <fgColor rgb="FF9BBB59"/>
        <bgColor rgb="FF000000"/>
      </patternFill>
    </fill>
    <fill>
      <patternFill patternType="lightUp">
        <fgColor theme="0" tint="-0.24994659260841701"/>
        <bgColor theme="0" tint="-4.9989318521683403E-2"/>
      </patternFill>
    </fill>
    <fill>
      <patternFill patternType="solid">
        <fgColor theme="0" tint="-0.14996795556505021"/>
        <bgColor indexed="64"/>
      </patternFill>
    </fill>
    <fill>
      <patternFill patternType="solid">
        <fgColor rgb="FFF2F2F2"/>
        <bgColor indexed="64"/>
      </patternFill>
    </fill>
    <fill>
      <patternFill patternType="solid">
        <fgColor rgb="FFE2EFD9"/>
        <bgColor indexed="64"/>
      </patternFill>
    </fill>
    <fill>
      <patternFill patternType="solid">
        <fgColor rgb="FFFFFFFF"/>
        <bgColor indexed="64"/>
      </patternFill>
    </fill>
    <fill>
      <patternFill patternType="solid">
        <fgColor rgb="FF948A54"/>
        <bgColor rgb="FF000000"/>
      </patternFill>
    </fill>
  </fills>
  <borders count="60">
    <border>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thin">
        <color indexed="64"/>
      </left>
      <right/>
      <top style="medium">
        <color indexed="64"/>
      </top>
      <bottom/>
      <diagonal/>
    </border>
    <border>
      <left/>
      <right/>
      <top style="medium">
        <color indexed="64"/>
      </top>
      <bottom/>
      <diagonal/>
    </border>
    <border>
      <left style="thin">
        <color rgb="FF000000"/>
      </left>
      <right style="medium">
        <color rgb="FF000000"/>
      </right>
      <top style="medium">
        <color rgb="FF000000"/>
      </top>
      <bottom style="medium">
        <color rgb="FF000000"/>
      </bottom>
      <diagonal/>
    </border>
    <border>
      <left style="medium">
        <color indexed="64"/>
      </left>
      <right/>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top/>
      <bottom style="medium">
        <color indexed="64"/>
      </bottom>
      <diagonal/>
    </border>
  </borders>
  <cellStyleXfs count="4">
    <xf numFmtId="0" fontId="0" fillId="0" borderId="0"/>
    <xf numFmtId="9" fontId="2" fillId="0" borderId="0" applyFont="0" applyFill="0" applyBorder="0" applyAlignment="0" applyProtection="0"/>
    <xf numFmtId="0" fontId="10" fillId="0" borderId="0"/>
    <xf numFmtId="0" fontId="10" fillId="0" borderId="0"/>
  </cellStyleXfs>
  <cellXfs count="430">
    <xf numFmtId="0" fontId="0" fillId="0" borderId="0" xfId="0"/>
    <xf numFmtId="0" fontId="5"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7" fillId="0" borderId="0" xfId="0" applyFont="1" applyAlignment="1">
      <alignment horizontal="left" vertical="center" indent="1"/>
    </xf>
    <xf numFmtId="0" fontId="8" fillId="0" borderId="0" xfId="0" applyFont="1" applyAlignment="1">
      <alignment vertical="center"/>
    </xf>
    <xf numFmtId="49" fontId="6" fillId="0" borderId="0" xfId="0" applyNumberFormat="1" applyFont="1" applyAlignment="1">
      <alignment vertical="center"/>
    </xf>
    <xf numFmtId="14" fontId="8" fillId="0" borderId="0" xfId="0" applyNumberFormat="1" applyFont="1" applyAlignment="1">
      <alignment horizontal="left" vertical="center"/>
    </xf>
    <xf numFmtId="0" fontId="10" fillId="0" borderId="0" xfId="0" applyFont="1" applyAlignment="1">
      <alignment vertical="center"/>
    </xf>
    <xf numFmtId="0" fontId="0" fillId="0" borderId="10" xfId="0" applyBorder="1"/>
    <xf numFmtId="0" fontId="0" fillId="0" borderId="9" xfId="0" applyBorder="1" applyAlignment="1">
      <alignment horizontal="center" vertical="center"/>
    </xf>
    <xf numFmtId="0" fontId="0" fillId="0" borderId="13" xfId="0" applyBorder="1"/>
    <xf numFmtId="1" fontId="4" fillId="6" borderId="9" xfId="0" applyNumberFormat="1" applyFont="1" applyFill="1" applyBorder="1" applyAlignment="1">
      <alignment horizontal="center" vertical="center"/>
    </xf>
    <xf numFmtId="0" fontId="0" fillId="0" borderId="17" xfId="0" applyBorder="1" applyAlignment="1">
      <alignment horizontal="center" vertical="center"/>
    </xf>
    <xf numFmtId="0" fontId="4" fillId="11" borderId="9" xfId="0" applyFont="1" applyFill="1" applyBorder="1" applyAlignment="1">
      <alignment horizontal="center" vertical="center" wrapText="1"/>
    </xf>
    <xf numFmtId="0" fontId="0" fillId="0" borderId="17" xfId="0" applyBorder="1"/>
    <xf numFmtId="0" fontId="0" fillId="0" borderId="9" xfId="0" applyBorder="1"/>
    <xf numFmtId="0" fontId="0" fillId="6" borderId="9" xfId="0" applyFill="1"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8" borderId="36" xfId="0" applyFill="1" applyBorder="1" applyAlignment="1">
      <alignment horizontal="center" vertical="center"/>
    </xf>
    <xf numFmtId="0" fontId="0" fillId="0" borderId="16" xfId="0" applyBorder="1" applyAlignment="1">
      <alignment horizontal="center" vertical="center" wrapText="1"/>
    </xf>
    <xf numFmtId="0" fontId="0" fillId="0" borderId="0" xfId="0" applyAlignment="1">
      <alignment horizontal="center"/>
    </xf>
    <xf numFmtId="1" fontId="0" fillId="0" borderId="0" xfId="0" applyNumberFormat="1" applyAlignment="1">
      <alignment horizontal="center" vertical="center"/>
    </xf>
    <xf numFmtId="0" fontId="4" fillId="8" borderId="30" xfId="0" applyFont="1" applyFill="1" applyBorder="1" applyAlignment="1">
      <alignment horizontal="center" vertical="center"/>
    </xf>
    <xf numFmtId="0" fontId="4" fillId="8" borderId="29" xfId="0" applyFont="1" applyFill="1" applyBorder="1" applyAlignment="1">
      <alignment horizontal="center" vertical="center" wrapText="1"/>
    </xf>
    <xf numFmtId="0" fontId="4" fillId="8" borderId="25"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2" fontId="0" fillId="0" borderId="0" xfId="0" applyNumberFormat="1"/>
    <xf numFmtId="166" fontId="21" fillId="0" borderId="7" xfId="0" applyNumberFormat="1" applyFont="1" applyBorder="1" applyAlignment="1">
      <alignment horizontal="center" vertical="center" wrapText="1"/>
    </xf>
    <xf numFmtId="1" fontId="23" fillId="4" borderId="8" xfId="1" applyNumberFormat="1" applyFont="1" applyFill="1" applyBorder="1" applyAlignment="1" applyProtection="1">
      <alignment horizontal="center" vertical="center"/>
    </xf>
    <xf numFmtId="0" fontId="28" fillId="0" borderId="8" xfId="0" applyFont="1" applyBorder="1" applyAlignment="1">
      <alignment horizontal="center" vertical="center" wrapText="1"/>
    </xf>
    <xf numFmtId="0" fontId="21" fillId="0" borderId="8" xfId="0" applyFont="1" applyBorder="1" applyAlignment="1">
      <alignment horizontal="center" vertical="center"/>
    </xf>
    <xf numFmtId="0" fontId="22" fillId="0" borderId="0" xfId="0" applyFont="1" applyAlignment="1">
      <alignment horizontal="left" vertical="center"/>
    </xf>
    <xf numFmtId="166" fontId="0" fillId="0" borderId="9" xfId="1" applyNumberFormat="1" applyFont="1" applyBorder="1" applyAlignment="1" applyProtection="1">
      <alignment horizontal="center" vertical="center"/>
    </xf>
    <xf numFmtId="1" fontId="0" fillId="0" borderId="0" xfId="0" applyNumberFormat="1" applyAlignment="1">
      <alignment horizontal="center" vertical="center" wrapText="1"/>
    </xf>
    <xf numFmtId="1" fontId="21" fillId="8" borderId="9" xfId="0" applyNumberFormat="1" applyFont="1" applyFill="1" applyBorder="1" applyAlignment="1">
      <alignment horizontal="center" vertical="center"/>
    </xf>
    <xf numFmtId="0" fontId="3" fillId="0" borderId="9" xfId="0" applyFont="1" applyBorder="1" applyAlignment="1">
      <alignment wrapText="1"/>
    </xf>
    <xf numFmtId="0" fontId="3" fillId="0" borderId="13" xfId="0" applyFont="1" applyBorder="1" applyAlignment="1">
      <alignment wrapText="1"/>
    </xf>
    <xf numFmtId="0" fontId="21" fillId="4" borderId="9" xfId="0" applyFont="1" applyFill="1" applyBorder="1" applyAlignment="1">
      <alignment horizontal="center" vertical="center"/>
    </xf>
    <xf numFmtId="1" fontId="21" fillId="4" borderId="9" xfId="0" applyNumberFormat="1" applyFont="1" applyFill="1" applyBorder="1" applyAlignment="1">
      <alignment horizontal="center" vertical="center"/>
    </xf>
    <xf numFmtId="1" fontId="21" fillId="8" borderId="9" xfId="1" applyNumberFormat="1" applyFont="1" applyFill="1" applyBorder="1" applyAlignment="1" applyProtection="1">
      <alignment horizontal="center" vertical="center"/>
    </xf>
    <xf numFmtId="1" fontId="21" fillId="8" borderId="17" xfId="0" applyNumberFormat="1" applyFont="1" applyFill="1" applyBorder="1" applyAlignment="1">
      <alignment horizontal="center" vertical="center"/>
    </xf>
    <xf numFmtId="1" fontId="21" fillId="4" borderId="17" xfId="0" applyNumberFormat="1" applyFont="1" applyFill="1" applyBorder="1" applyAlignment="1">
      <alignment horizontal="center" vertical="center"/>
    </xf>
    <xf numFmtId="1" fontId="0" fillId="16" borderId="17" xfId="1" applyNumberFormat="1" applyFont="1" applyFill="1" applyBorder="1" applyAlignment="1" applyProtection="1">
      <alignment horizontal="center" vertical="center"/>
    </xf>
    <xf numFmtId="0" fontId="0" fillId="0" borderId="21" xfId="0" applyBorder="1" applyAlignment="1">
      <alignment horizontal="center" vertical="center" wrapText="1"/>
    </xf>
    <xf numFmtId="1" fontId="4" fillId="0" borderId="22" xfId="1" applyNumberFormat="1" applyFont="1" applyFill="1" applyBorder="1" applyAlignment="1" applyProtection="1">
      <alignment horizontal="center" vertical="center"/>
    </xf>
    <xf numFmtId="1" fontId="4" fillId="0" borderId="24" xfId="1" applyNumberFormat="1" applyFont="1" applyFill="1" applyBorder="1" applyAlignment="1" applyProtection="1">
      <alignment horizontal="center" vertical="center"/>
    </xf>
    <xf numFmtId="0" fontId="24" fillId="0" borderId="0" xfId="0" applyFont="1" applyAlignment="1">
      <alignment horizontal="center" vertical="center" wrapText="1"/>
    </xf>
    <xf numFmtId="0" fontId="0" fillId="4" borderId="37" xfId="0" applyFill="1" applyBorder="1" applyAlignment="1">
      <alignment horizontal="center" vertical="center" wrapText="1"/>
    </xf>
    <xf numFmtId="0" fontId="0" fillId="16" borderId="37" xfId="0" applyFill="1" applyBorder="1" applyAlignment="1">
      <alignment horizontal="center" vertical="center"/>
    </xf>
    <xf numFmtId="0" fontId="0" fillId="0" borderId="0" xfId="0" applyAlignment="1">
      <alignment horizontal="left" vertical="center"/>
    </xf>
    <xf numFmtId="0" fontId="4" fillId="0" borderId="12" xfId="0" applyFont="1" applyBorder="1" applyAlignment="1">
      <alignment horizontal="center" vertical="center" wrapText="1"/>
    </xf>
    <xf numFmtId="1" fontId="4" fillId="0" borderId="9" xfId="0" applyNumberFormat="1" applyFont="1" applyBorder="1" applyAlignment="1">
      <alignment horizontal="center" vertical="center" wrapText="1"/>
    </xf>
    <xf numFmtId="1" fontId="4" fillId="0" borderId="13" xfId="0" applyNumberFormat="1" applyFont="1" applyBorder="1" applyAlignment="1">
      <alignment horizontal="center" vertical="center" wrapText="1"/>
    </xf>
    <xf numFmtId="0" fontId="0" fillId="0" borderId="0" xfId="0" applyAlignment="1">
      <alignment horizontal="center" wrapText="1"/>
    </xf>
    <xf numFmtId="166" fontId="0" fillId="0" borderId="0" xfId="0" applyNumberFormat="1" applyAlignment="1">
      <alignment horizontal="center" vertical="center"/>
    </xf>
    <xf numFmtId="166" fontId="0" fillId="0" borderId="0" xfId="0" applyNumberFormat="1" applyAlignment="1">
      <alignment horizontal="right" vertical="center"/>
    </xf>
    <xf numFmtId="0" fontId="21" fillId="0" borderId="0" xfId="0" applyFont="1" applyAlignment="1">
      <alignment horizontal="center" vertical="center" wrapText="1"/>
    </xf>
    <xf numFmtId="0" fontId="30" fillId="17" borderId="3" xfId="0" applyFont="1" applyFill="1" applyBorder="1" applyAlignment="1">
      <alignment vertical="center"/>
    </xf>
    <xf numFmtId="0" fontId="0" fillId="0" borderId="34" xfId="0" applyBorder="1"/>
    <xf numFmtId="0" fontId="0" fillId="0" borderId="38" xfId="0" applyBorder="1"/>
    <xf numFmtId="0" fontId="3" fillId="0" borderId="2" xfId="0" applyFont="1" applyBorder="1"/>
    <xf numFmtId="0" fontId="0" fillId="0" borderId="39" xfId="0" applyBorder="1"/>
    <xf numFmtId="0" fontId="0" fillId="0" borderId="1" xfId="0" applyBorder="1"/>
    <xf numFmtId="0" fontId="4" fillId="18" borderId="0" xfId="0" applyFont="1" applyFill="1"/>
    <xf numFmtId="0" fontId="31" fillId="0" borderId="0" xfId="0" applyFont="1"/>
    <xf numFmtId="1" fontId="32" fillId="11" borderId="9" xfId="0" applyNumberFormat="1" applyFont="1" applyFill="1" applyBorder="1" applyAlignment="1">
      <alignment horizontal="center" vertical="center"/>
    </xf>
    <xf numFmtId="0" fontId="30" fillId="17" borderId="0" xfId="0" applyFont="1" applyFill="1" applyAlignment="1">
      <alignment vertical="center"/>
    </xf>
    <xf numFmtId="0" fontId="3" fillId="0" borderId="34" xfId="0" applyFont="1" applyBorder="1"/>
    <xf numFmtId="166" fontId="0" fillId="15" borderId="9" xfId="1" applyNumberFormat="1" applyFont="1" applyFill="1" applyBorder="1" applyAlignment="1" applyProtection="1">
      <alignment horizontal="center" vertical="center"/>
      <protection locked="0"/>
    </xf>
    <xf numFmtId="2" fontId="0" fillId="0" borderId="9" xfId="1" applyNumberFormat="1" applyFont="1" applyBorder="1" applyAlignment="1" applyProtection="1">
      <alignment vertical="center"/>
    </xf>
    <xf numFmtId="0" fontId="0" fillId="0" borderId="9" xfId="0" applyBorder="1" applyAlignment="1">
      <alignment horizontal="center" vertical="center" wrapText="1"/>
    </xf>
    <xf numFmtId="166" fontId="0" fillId="2" borderId="9" xfId="1" applyNumberFormat="1" applyFont="1" applyFill="1" applyBorder="1" applyAlignment="1" applyProtection="1">
      <alignment horizontal="center" vertical="center"/>
    </xf>
    <xf numFmtId="1" fontId="0" fillId="15" borderId="9" xfId="1" applyNumberFormat="1" applyFont="1" applyFill="1" applyBorder="1" applyAlignment="1" applyProtection="1">
      <alignment horizontal="center" vertical="center"/>
      <protection locked="0"/>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0" fillId="5" borderId="12" xfId="0" applyFill="1" applyBorder="1" applyAlignment="1">
      <alignment horizontal="left" vertical="center" wrapText="1"/>
    </xf>
    <xf numFmtId="0" fontId="0" fillId="5" borderId="16" xfId="0" applyFill="1" applyBorder="1" applyAlignment="1">
      <alignment horizontal="left" vertical="center" wrapText="1"/>
    </xf>
    <xf numFmtId="0" fontId="0" fillId="6" borderId="17" xfId="0" applyFill="1" applyBorder="1" applyAlignment="1">
      <alignment horizontal="center" vertical="center" wrapText="1"/>
    </xf>
    <xf numFmtId="166" fontId="0" fillId="0" borderId="17" xfId="1" applyNumberFormat="1" applyFont="1" applyBorder="1" applyAlignment="1" applyProtection="1">
      <alignment horizontal="center" vertical="center"/>
    </xf>
    <xf numFmtId="164" fontId="15" fillId="20" borderId="9" xfId="0" applyNumberFormat="1" applyFont="1" applyFill="1" applyBorder="1" applyAlignment="1">
      <alignment horizontal="center" vertical="center"/>
    </xf>
    <xf numFmtId="1" fontId="4" fillId="6" borderId="9" xfId="1" applyNumberFormat="1" applyFont="1" applyFill="1" applyBorder="1" applyAlignment="1" applyProtection="1">
      <alignment horizontal="center" vertical="center"/>
    </xf>
    <xf numFmtId="166" fontId="21" fillId="2" borderId="9" xfId="1" applyNumberFormat="1" applyFont="1" applyFill="1" applyBorder="1" applyAlignment="1" applyProtection="1">
      <alignment horizontal="center" vertical="center"/>
    </xf>
    <xf numFmtId="166" fontId="21" fillId="15" borderId="9" xfId="0" applyNumberFormat="1" applyFont="1" applyFill="1" applyBorder="1" applyAlignment="1" applyProtection="1">
      <alignment horizontal="center" vertical="center"/>
      <protection locked="0"/>
    </xf>
    <xf numFmtId="0" fontId="0" fillId="0" borderId="8" xfId="0" applyBorder="1"/>
    <xf numFmtId="0" fontId="21" fillId="0" borderId="13" xfId="0" applyFont="1" applyBorder="1" applyAlignment="1">
      <alignment horizontal="center" vertical="center" wrapText="1"/>
    </xf>
    <xf numFmtId="1" fontId="21" fillId="4" borderId="13" xfId="1" applyNumberFormat="1" applyFont="1" applyFill="1" applyBorder="1" applyAlignment="1" applyProtection="1">
      <alignment horizontal="center" vertical="center"/>
    </xf>
    <xf numFmtId="1" fontId="21" fillId="4" borderId="18" xfId="1" applyNumberFormat="1" applyFont="1" applyFill="1" applyBorder="1" applyAlignment="1" applyProtection="1">
      <alignment horizontal="center" vertical="center"/>
    </xf>
    <xf numFmtId="166" fontId="0" fillId="2" borderId="0" xfId="0" applyNumberFormat="1" applyFill="1" applyAlignment="1">
      <alignment horizontal="center" vertical="center"/>
    </xf>
    <xf numFmtId="0" fontId="9" fillId="3" borderId="2" xfId="0" applyFont="1" applyFill="1" applyBorder="1" applyAlignment="1">
      <alignment horizontal="left" vertical="center" indent="1"/>
    </xf>
    <xf numFmtId="0" fontId="9"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11" fillId="0" borderId="0" xfId="0" applyFont="1" applyAlignment="1">
      <alignment horizontal="center" wrapText="1"/>
    </xf>
    <xf numFmtId="0" fontId="12" fillId="0" borderId="0" xfId="0" applyFont="1" applyAlignment="1">
      <alignment horizontal="center" wrapText="1"/>
    </xf>
    <xf numFmtId="0" fontId="12" fillId="0" borderId="0" xfId="0" applyFont="1"/>
    <xf numFmtId="0" fontId="0" fillId="5" borderId="8" xfId="0" applyFill="1" applyBorder="1" applyAlignment="1">
      <alignment horizontal="left" vertical="center" wrapText="1"/>
    </xf>
    <xf numFmtId="0" fontId="0" fillId="6" borderId="8" xfId="0" applyFill="1" applyBorder="1" applyAlignment="1">
      <alignment horizontal="center" vertical="center" wrapText="1"/>
    </xf>
    <xf numFmtId="0" fontId="0" fillId="0" borderId="8" xfId="0" applyBorder="1" applyAlignment="1">
      <alignment horizontal="center" vertical="center"/>
    </xf>
    <xf numFmtId="0" fontId="0" fillId="6" borderId="8" xfId="0" applyFill="1" applyBorder="1" applyAlignment="1">
      <alignment horizontal="center" vertical="center"/>
    </xf>
    <xf numFmtId="165" fontId="0" fillId="6" borderId="8" xfId="0" applyNumberFormat="1" applyFill="1" applyBorder="1" applyAlignment="1">
      <alignment horizontal="center" vertical="center"/>
    </xf>
    <xf numFmtId="166" fontId="14" fillId="6" borderId="8" xfId="0" applyNumberFormat="1" applyFont="1" applyFill="1" applyBorder="1" applyAlignment="1">
      <alignment horizontal="center" vertical="center"/>
    </xf>
    <xf numFmtId="164" fontId="15" fillId="7" borderId="8" xfId="0" applyNumberFormat="1" applyFont="1" applyFill="1" applyBorder="1" applyAlignment="1">
      <alignment horizontal="center" vertical="center"/>
    </xf>
    <xf numFmtId="0" fontId="0" fillId="6" borderId="10" xfId="0" applyFill="1" applyBorder="1" applyAlignment="1">
      <alignment horizontal="left" vertical="center" wrapText="1"/>
    </xf>
    <xf numFmtId="0" fontId="0" fillId="0" borderId="11" xfId="0" applyBorder="1" applyAlignment="1">
      <alignment horizontal="center" vertical="center"/>
    </xf>
    <xf numFmtId="0" fontId="11" fillId="0" borderId="0" xfId="0" applyFont="1" applyAlignment="1">
      <alignment horizontal="center"/>
    </xf>
    <xf numFmtId="0" fontId="0" fillId="5" borderId="9" xfId="0" applyFill="1" applyBorder="1" applyAlignment="1">
      <alignment horizontal="left" vertical="center" wrapText="1"/>
    </xf>
    <xf numFmtId="165" fontId="0" fillId="6" borderId="9" xfId="0" applyNumberFormat="1" applyFill="1" applyBorder="1" applyAlignment="1">
      <alignment horizontal="center" vertical="center"/>
    </xf>
    <xf numFmtId="166" fontId="14" fillId="6" borderId="9" xfId="0" applyNumberFormat="1" applyFont="1" applyFill="1" applyBorder="1" applyAlignment="1">
      <alignment horizontal="center" vertical="center"/>
    </xf>
    <xf numFmtId="164" fontId="15" fillId="7" borderId="9" xfId="0" applyNumberFormat="1" applyFont="1" applyFill="1" applyBorder="1" applyAlignment="1">
      <alignment horizontal="center" vertical="center"/>
    </xf>
    <xf numFmtId="0" fontId="0" fillId="6" borderId="13" xfId="0" applyFill="1" applyBorder="1" applyAlignment="1">
      <alignment horizontal="left" vertical="center" wrapText="1"/>
    </xf>
    <xf numFmtId="0" fontId="0" fillId="0" borderId="14" xfId="0" applyBorder="1" applyAlignment="1">
      <alignment horizontal="center" vertical="center"/>
    </xf>
    <xf numFmtId="165" fontId="0" fillId="2" borderId="9" xfId="0" applyNumberFormat="1" applyFill="1" applyBorder="1" applyAlignment="1">
      <alignment horizontal="center" vertical="center"/>
    </xf>
    <xf numFmtId="0" fontId="0" fillId="6" borderId="0" xfId="0" applyFill="1"/>
    <xf numFmtId="1" fontId="0" fillId="6" borderId="15" xfId="0" applyNumberFormat="1" applyFill="1" applyBorder="1" applyAlignment="1">
      <alignment horizontal="center" vertical="center"/>
    </xf>
    <xf numFmtId="0" fontId="0" fillId="8" borderId="9" xfId="0" applyFill="1" applyBorder="1" applyAlignment="1">
      <alignment horizontal="center" vertical="center"/>
    </xf>
    <xf numFmtId="0" fontId="0" fillId="9" borderId="9" xfId="0" applyFill="1" applyBorder="1" applyAlignment="1">
      <alignment horizontal="center" vertical="center" wrapText="1"/>
    </xf>
    <xf numFmtId="0" fontId="0" fillId="10" borderId="9" xfId="0" applyFill="1" applyBorder="1" applyAlignment="1">
      <alignment horizontal="center" vertical="center"/>
    </xf>
    <xf numFmtId="0" fontId="0" fillId="0" borderId="9" xfId="0" applyBorder="1" applyAlignment="1">
      <alignment vertical="center"/>
    </xf>
    <xf numFmtId="0" fontId="0" fillId="6" borderId="9" xfId="0" applyFill="1" applyBorder="1" applyAlignment="1">
      <alignment horizontal="center" vertical="center"/>
    </xf>
    <xf numFmtId="1" fontId="0" fillId="6" borderId="9" xfId="0" applyNumberFormat="1" applyFill="1"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wrapText="1"/>
    </xf>
    <xf numFmtId="0" fontId="16" fillId="5" borderId="17" xfId="0" applyFont="1" applyFill="1" applyBorder="1" applyAlignment="1">
      <alignment horizontal="left" vertical="center" wrapText="1"/>
    </xf>
    <xf numFmtId="0" fontId="16" fillId="6" borderId="17" xfId="0" applyFont="1" applyFill="1" applyBorder="1" applyAlignment="1">
      <alignment horizontal="center" vertical="center" wrapText="1"/>
    </xf>
    <xf numFmtId="3" fontId="16" fillId="14" borderId="17" xfId="0" applyNumberFormat="1" applyFont="1" applyFill="1" applyBorder="1" applyAlignment="1">
      <alignment horizontal="center" vertical="center"/>
    </xf>
    <xf numFmtId="0" fontId="16" fillId="0" borderId="17" xfId="0" applyFont="1" applyBorder="1" applyAlignment="1">
      <alignment horizontal="center" vertical="center"/>
    </xf>
    <xf numFmtId="0" fontId="16" fillId="6" borderId="17" xfId="0" applyFont="1" applyFill="1" applyBorder="1" applyAlignment="1">
      <alignment horizontal="center" vertical="center"/>
    </xf>
    <xf numFmtId="1" fontId="16" fillId="6" borderId="17" xfId="0" applyNumberFormat="1" applyFont="1" applyFill="1" applyBorder="1" applyAlignment="1">
      <alignment horizontal="center" vertical="center"/>
    </xf>
    <xf numFmtId="166" fontId="16" fillId="6" borderId="17" xfId="0" applyNumberFormat="1" applyFont="1" applyFill="1" applyBorder="1" applyAlignment="1">
      <alignment horizontal="center" vertical="center"/>
    </xf>
    <xf numFmtId="1" fontId="17" fillId="6" borderId="17" xfId="0" applyNumberFormat="1" applyFont="1" applyFill="1" applyBorder="1" applyAlignment="1">
      <alignment horizontal="center" vertical="center"/>
    </xf>
    <xf numFmtId="1" fontId="16" fillId="6" borderId="26" xfId="0" applyNumberFormat="1" applyFont="1" applyFill="1" applyBorder="1" applyAlignment="1">
      <alignment horizontal="center" vertical="center"/>
    </xf>
    <xf numFmtId="0" fontId="16" fillId="6" borderId="18" xfId="0" applyFont="1" applyFill="1" applyBorder="1" applyAlignment="1">
      <alignment horizontal="center" vertical="center" wrapText="1"/>
    </xf>
    <xf numFmtId="0" fontId="16" fillId="0" borderId="0" xfId="0" applyFont="1"/>
    <xf numFmtId="0" fontId="16" fillId="0" borderId="12" xfId="0" applyFont="1" applyBorder="1" applyAlignment="1">
      <alignment horizontal="center" vertical="center"/>
    </xf>
    <xf numFmtId="0" fontId="16" fillId="8" borderId="3" xfId="0" applyFont="1" applyFill="1" applyBorder="1" applyAlignment="1">
      <alignment horizontal="center" vertical="center"/>
    </xf>
    <xf numFmtId="0" fontId="16" fillId="9" borderId="3" xfId="0" applyFont="1" applyFill="1" applyBorder="1" applyAlignment="1">
      <alignment horizontal="center" vertical="center" wrapText="1"/>
    </xf>
    <xf numFmtId="0" fontId="16" fillId="10" borderId="9" xfId="0" applyFont="1" applyFill="1" applyBorder="1" applyAlignment="1">
      <alignment horizontal="center" vertical="center"/>
    </xf>
    <xf numFmtId="166" fontId="0" fillId="0" borderId="17" xfId="0" applyNumberFormat="1" applyBorder="1" applyAlignment="1">
      <alignment horizontal="center" vertical="center"/>
    </xf>
    <xf numFmtId="0" fontId="0" fillId="0" borderId="18" xfId="0" applyBorder="1"/>
    <xf numFmtId="1" fontId="0" fillId="6" borderId="8" xfId="0" applyNumberFormat="1" applyFill="1" applyBorder="1" applyAlignment="1">
      <alignment horizontal="center" vertical="center"/>
    </xf>
    <xf numFmtId="166" fontId="14" fillId="6" borderId="8" xfId="0" quotePrefix="1" applyNumberFormat="1" applyFont="1" applyFill="1" applyBorder="1" applyAlignment="1">
      <alignment horizontal="center" vertical="center"/>
    </xf>
    <xf numFmtId="1" fontId="4" fillId="6" borderId="8" xfId="0" applyNumberFormat="1" applyFont="1" applyFill="1" applyBorder="1" applyAlignment="1">
      <alignment horizontal="center" vertical="center"/>
    </xf>
    <xf numFmtId="1" fontId="0" fillId="6" borderId="19" xfId="0" applyNumberFormat="1" applyFill="1" applyBorder="1" applyAlignment="1">
      <alignment horizontal="center" vertical="center"/>
    </xf>
    <xf numFmtId="0" fontId="0" fillId="0" borderId="7" xfId="0" applyBorder="1" applyAlignment="1">
      <alignment horizontal="center" vertical="center"/>
    </xf>
    <xf numFmtId="166" fontId="0" fillId="0" borderId="8" xfId="0" applyNumberFormat="1" applyBorder="1" applyAlignment="1">
      <alignment horizontal="center" vertical="center"/>
    </xf>
    <xf numFmtId="0" fontId="0" fillId="5" borderId="22" xfId="0" applyFill="1" applyBorder="1" applyAlignment="1">
      <alignment horizontal="left" vertical="center" wrapText="1"/>
    </xf>
    <xf numFmtId="0" fontId="0" fillId="6" borderId="22" xfId="0" applyFill="1" applyBorder="1" applyAlignment="1">
      <alignment horizontal="center" vertical="center" wrapText="1"/>
    </xf>
    <xf numFmtId="0" fontId="0" fillId="0" borderId="22" xfId="0" applyBorder="1" applyAlignment="1">
      <alignment horizontal="center" vertical="center"/>
    </xf>
    <xf numFmtId="166" fontId="14" fillId="6" borderId="22" xfId="0" applyNumberFormat="1" applyFont="1" applyFill="1" applyBorder="1" applyAlignment="1">
      <alignment horizontal="center" vertical="center"/>
    </xf>
    <xf numFmtId="1" fontId="4" fillId="6" borderId="22" xfId="0" applyNumberFormat="1" applyFont="1" applyFill="1" applyBorder="1" applyAlignment="1">
      <alignment horizontal="center" vertical="center"/>
    </xf>
    <xf numFmtId="1" fontId="0" fillId="6" borderId="23" xfId="0" applyNumberFormat="1" applyFill="1" applyBorder="1" applyAlignment="1">
      <alignment horizontal="center" vertical="center"/>
    </xf>
    <xf numFmtId="0" fontId="0" fillId="6" borderId="24" xfId="0" applyFill="1" applyBorder="1" applyAlignment="1">
      <alignment horizontal="left" vertical="center" wrapText="1"/>
    </xf>
    <xf numFmtId="0" fontId="0" fillId="0" borderId="21" xfId="0" applyBorder="1" applyAlignment="1">
      <alignment horizontal="center" vertical="center"/>
    </xf>
    <xf numFmtId="0" fontId="0" fillId="9" borderId="25" xfId="0" applyFill="1" applyBorder="1" applyAlignment="1">
      <alignment horizontal="center" vertical="center" wrapText="1"/>
    </xf>
    <xf numFmtId="0" fontId="0" fillId="10" borderId="22" xfId="0" applyFill="1" applyBorder="1" applyAlignment="1">
      <alignment horizontal="center" vertical="center"/>
    </xf>
    <xf numFmtId="0" fontId="0" fillId="0" borderId="25" xfId="0" applyBorder="1" applyAlignment="1">
      <alignment horizontal="center" vertical="center"/>
    </xf>
    <xf numFmtId="166" fontId="0" fillId="0" borderId="25" xfId="0" applyNumberFormat="1" applyBorder="1" applyAlignment="1">
      <alignment horizontal="center" vertical="center"/>
    </xf>
    <xf numFmtId="0" fontId="0" fillId="0" borderId="24" xfId="0" applyBorder="1"/>
    <xf numFmtId="166" fontId="0" fillId="6" borderId="9" xfId="0" applyNumberFormat="1" applyFill="1" applyBorder="1" applyAlignment="1">
      <alignment horizontal="center" vertical="center"/>
    </xf>
    <xf numFmtId="0" fontId="0" fillId="0" borderId="12" xfId="0" applyBorder="1" applyAlignment="1">
      <alignment horizontal="center" vertical="center"/>
    </xf>
    <xf numFmtId="0" fontId="0" fillId="8" borderId="3" xfId="0" applyFill="1" applyBorder="1" applyAlignment="1">
      <alignment horizontal="center" vertical="center"/>
    </xf>
    <xf numFmtId="0" fontId="0" fillId="9" borderId="3" xfId="0" applyFill="1" applyBorder="1" applyAlignment="1">
      <alignment horizontal="center" vertical="center" wrapText="1"/>
    </xf>
    <xf numFmtId="0" fontId="16" fillId="5" borderId="9" xfId="0" applyFont="1" applyFill="1" applyBorder="1" applyAlignment="1">
      <alignment horizontal="left" vertical="center" wrapText="1"/>
    </xf>
    <xf numFmtId="0" fontId="16" fillId="6" borderId="9" xfId="0" applyFont="1" applyFill="1" applyBorder="1" applyAlignment="1">
      <alignment horizontal="center" vertical="center" wrapText="1"/>
    </xf>
    <xf numFmtId="3" fontId="16" fillId="2" borderId="9" xfId="0" applyNumberFormat="1" applyFont="1" applyFill="1" applyBorder="1" applyAlignment="1">
      <alignment horizontal="center" vertical="center"/>
    </xf>
    <xf numFmtId="0" fontId="16" fillId="0" borderId="9" xfId="0" applyFont="1" applyBorder="1" applyAlignment="1">
      <alignment horizontal="center" vertical="center"/>
    </xf>
    <xf numFmtId="0" fontId="16" fillId="6" borderId="9" xfId="0" applyFont="1" applyFill="1" applyBorder="1" applyAlignment="1">
      <alignment horizontal="center" vertical="center"/>
    </xf>
    <xf numFmtId="1" fontId="16" fillId="6" borderId="9" xfId="0" applyNumberFormat="1" applyFont="1" applyFill="1" applyBorder="1" applyAlignment="1">
      <alignment horizontal="center" vertical="center"/>
    </xf>
    <xf numFmtId="166" fontId="16" fillId="6" borderId="9" xfId="0" applyNumberFormat="1" applyFont="1" applyFill="1" applyBorder="1" applyAlignment="1">
      <alignment horizontal="center" vertical="center"/>
    </xf>
    <xf numFmtId="1" fontId="17" fillId="6" borderId="9" xfId="0" applyNumberFormat="1" applyFont="1" applyFill="1" applyBorder="1" applyAlignment="1">
      <alignment horizontal="center" vertical="center"/>
    </xf>
    <xf numFmtId="1" fontId="16" fillId="6" borderId="15" xfId="0" applyNumberFormat="1" applyFont="1" applyFill="1" applyBorder="1" applyAlignment="1">
      <alignment horizontal="center" vertical="center"/>
    </xf>
    <xf numFmtId="0" fontId="16" fillId="6" borderId="13" xfId="0" applyFont="1" applyFill="1" applyBorder="1" applyAlignment="1">
      <alignment horizontal="left" vertical="center" wrapText="1"/>
    </xf>
    <xf numFmtId="1" fontId="0" fillId="0" borderId="9" xfId="0" applyNumberFormat="1" applyBorder="1" applyAlignment="1">
      <alignment horizontal="center" vertical="center"/>
    </xf>
    <xf numFmtId="0" fontId="0" fillId="5" borderId="17" xfId="0" applyFill="1" applyBorder="1" applyAlignment="1">
      <alignment horizontal="left" vertical="center" wrapText="1"/>
    </xf>
    <xf numFmtId="0" fontId="18" fillId="6" borderId="17" xfId="0" applyFont="1" applyFill="1" applyBorder="1" applyAlignment="1">
      <alignment horizontal="center" vertical="center" wrapText="1"/>
    </xf>
    <xf numFmtId="0" fontId="0" fillId="6" borderId="17" xfId="0" applyFill="1" applyBorder="1" applyAlignment="1">
      <alignment horizontal="center" vertical="center"/>
    </xf>
    <xf numFmtId="166" fontId="0" fillId="6" borderId="17" xfId="0" applyNumberFormat="1" applyFill="1" applyBorder="1" applyAlignment="1">
      <alignment horizontal="center" vertical="center"/>
    </xf>
    <xf numFmtId="166" fontId="14" fillId="6" borderId="17" xfId="0" applyNumberFormat="1" applyFont="1" applyFill="1" applyBorder="1" applyAlignment="1">
      <alignment horizontal="center" vertical="center"/>
    </xf>
    <xf numFmtId="1" fontId="4" fillId="6" borderId="17" xfId="0" applyNumberFormat="1" applyFont="1" applyFill="1" applyBorder="1" applyAlignment="1">
      <alignment horizontal="center" vertical="center"/>
    </xf>
    <xf numFmtId="1" fontId="0" fillId="6" borderId="26" xfId="0" applyNumberFormat="1" applyFill="1" applyBorder="1" applyAlignment="1">
      <alignment horizontal="center" vertical="center"/>
    </xf>
    <xf numFmtId="0" fontId="0" fillId="6" borderId="18" xfId="0" applyFill="1" applyBorder="1" applyAlignment="1">
      <alignment horizontal="left" vertical="center" wrapText="1"/>
    </xf>
    <xf numFmtId="0" fontId="0" fillId="0" borderId="16" xfId="0" applyBorder="1" applyAlignment="1">
      <alignment horizontal="center" vertical="center"/>
    </xf>
    <xf numFmtId="0" fontId="0" fillId="8" borderId="17" xfId="0" applyFill="1" applyBorder="1" applyAlignment="1">
      <alignment horizontal="center" vertical="center"/>
    </xf>
    <xf numFmtId="0" fontId="0" fillId="9" borderId="17" xfId="0" applyFill="1" applyBorder="1" applyAlignment="1">
      <alignment horizontal="center" vertical="center" wrapText="1"/>
    </xf>
    <xf numFmtId="0" fontId="0" fillId="10" borderId="17" xfId="0" applyFill="1"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166" fontId="0" fillId="0" borderId="27" xfId="0" applyNumberFormat="1" applyBorder="1" applyAlignment="1">
      <alignment horizontal="center" vertical="center"/>
    </xf>
    <xf numFmtId="166" fontId="20" fillId="11" borderId="22" xfId="0" applyNumberFormat="1" applyFont="1" applyFill="1" applyBorder="1" applyAlignment="1">
      <alignment horizontal="center" vertical="center"/>
    </xf>
    <xf numFmtId="1" fontId="21" fillId="11" borderId="22" xfId="0" applyNumberFormat="1" applyFont="1" applyFill="1" applyBorder="1" applyAlignment="1">
      <alignment horizontal="center" vertical="center"/>
    </xf>
    <xf numFmtId="166" fontId="0" fillId="0" borderId="29" xfId="0" applyNumberFormat="1" applyBorder="1" applyAlignment="1">
      <alignment horizontal="center" vertical="center"/>
    </xf>
    <xf numFmtId="167" fontId="4" fillId="0" borderId="22" xfId="0" applyNumberFormat="1" applyFont="1" applyBorder="1" applyAlignment="1">
      <alignment horizontal="center" vertical="center"/>
    </xf>
    <xf numFmtId="0" fontId="0" fillId="0" borderId="30" xfId="0" applyBorder="1"/>
    <xf numFmtId="0" fontId="0" fillId="0" borderId="15" xfId="0" applyBorder="1" applyAlignment="1">
      <alignment horizontal="center" vertical="center"/>
    </xf>
    <xf numFmtId="0" fontId="0" fillId="0" borderId="31" xfId="0" applyBorder="1" applyAlignment="1">
      <alignment horizontal="center" vertical="center"/>
    </xf>
    <xf numFmtId="166" fontId="0" fillId="0" borderId="32" xfId="0" applyNumberFormat="1" applyBorder="1" applyAlignment="1">
      <alignment horizontal="center" vertical="center"/>
    </xf>
    <xf numFmtId="166" fontId="20" fillId="11" borderId="9" xfId="0" applyNumberFormat="1" applyFont="1" applyFill="1" applyBorder="1" applyAlignment="1">
      <alignment horizontal="center" vertical="center"/>
    </xf>
    <xf numFmtId="1" fontId="21" fillId="11" borderId="9" xfId="0" applyNumberFormat="1" applyFont="1" applyFill="1" applyBorder="1" applyAlignment="1">
      <alignment horizontal="center" vertical="center"/>
    </xf>
    <xf numFmtId="166" fontId="0" fillId="0" borderId="33" xfId="0" applyNumberFormat="1" applyBorder="1" applyAlignment="1">
      <alignment horizontal="center" vertical="center"/>
    </xf>
    <xf numFmtId="166" fontId="0" fillId="0" borderId="3" xfId="0" applyNumberFormat="1" applyBorder="1" applyAlignment="1">
      <alignment horizontal="center" vertical="center"/>
    </xf>
    <xf numFmtId="167" fontId="4" fillId="0" borderId="9" xfId="0" applyNumberFormat="1" applyFont="1" applyBorder="1" applyAlignment="1">
      <alignment horizontal="center" vertical="center"/>
    </xf>
    <xf numFmtId="1" fontId="22" fillId="11" borderId="9" xfId="0" applyNumberFormat="1" applyFont="1" applyFill="1" applyBorder="1" applyAlignment="1">
      <alignment horizontal="center" vertical="center"/>
    </xf>
    <xf numFmtId="1" fontId="23" fillId="11" borderId="9" xfId="0" applyNumberFormat="1" applyFont="1" applyFill="1" applyBorder="1" applyAlignment="1">
      <alignment horizontal="center" vertical="center"/>
    </xf>
    <xf numFmtId="0" fontId="24" fillId="0" borderId="16" xfId="0" applyFont="1" applyBorder="1" applyAlignment="1">
      <alignment horizontal="center" vertical="center" wrapText="1"/>
    </xf>
    <xf numFmtId="0" fontId="9" fillId="13" borderId="3" xfId="0" applyFont="1" applyFill="1" applyBorder="1" applyAlignment="1">
      <alignment vertical="center"/>
    </xf>
    <xf numFmtId="0" fontId="9" fillId="12" borderId="0" xfId="0" applyFont="1" applyFill="1" applyAlignment="1">
      <alignment vertical="center"/>
    </xf>
    <xf numFmtId="0" fontId="0" fillId="0" borderId="9" xfId="0" applyBorder="1" applyAlignment="1">
      <alignment wrapText="1"/>
    </xf>
    <xf numFmtId="0" fontId="0" fillId="0" borderId="0" xfId="0" applyAlignment="1">
      <alignment wrapText="1"/>
    </xf>
    <xf numFmtId="3" fontId="0" fillId="0" borderId="0" xfId="0" applyNumberFormat="1" applyAlignment="1">
      <alignment horizontal="left" vertical="center"/>
    </xf>
    <xf numFmtId="0" fontId="13" fillId="0" borderId="0" xfId="0" applyFont="1"/>
    <xf numFmtId="0" fontId="25" fillId="0" borderId="0" xfId="0" applyFont="1"/>
    <xf numFmtId="165" fontId="0" fillId="15" borderId="8" xfId="0" applyNumberFormat="1" applyFill="1" applyBorder="1" applyAlignment="1" applyProtection="1">
      <alignment horizontal="center" vertical="center"/>
      <protection locked="0"/>
    </xf>
    <xf numFmtId="165" fontId="0" fillId="15" borderId="9" xfId="0" applyNumberFormat="1" applyFill="1" applyBorder="1" applyAlignment="1" applyProtection="1">
      <alignment horizontal="center" vertical="center"/>
      <protection locked="0"/>
    </xf>
    <xf numFmtId="3" fontId="0" fillId="15" borderId="9" xfId="0" applyNumberFormat="1" applyFill="1" applyBorder="1" applyAlignment="1" applyProtection="1">
      <alignment horizontal="center" vertical="center"/>
      <protection locked="0"/>
    </xf>
    <xf numFmtId="165" fontId="0" fillId="15" borderId="22" xfId="0" applyNumberFormat="1" applyFill="1" applyBorder="1" applyAlignment="1" applyProtection="1">
      <alignment horizontal="center" vertical="center"/>
      <protection locked="0"/>
    </xf>
    <xf numFmtId="4" fontId="0" fillId="15" borderId="9" xfId="0" applyNumberFormat="1" applyFill="1" applyBorder="1" applyAlignment="1" applyProtection="1">
      <alignment horizontal="center" vertical="center"/>
      <protection locked="0"/>
    </xf>
    <xf numFmtId="165" fontId="0" fillId="15" borderId="17" xfId="0" applyNumberFormat="1" applyFill="1" applyBorder="1" applyAlignment="1" applyProtection="1">
      <alignment horizontal="center" vertical="center"/>
      <protection locked="0"/>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0" fillId="11" borderId="4" xfId="0" applyFill="1" applyBorder="1" applyAlignment="1">
      <alignment horizontal="center" vertical="center"/>
    </xf>
    <xf numFmtId="0" fontId="0" fillId="11" borderId="6" xfId="0" applyFill="1" applyBorder="1" applyAlignment="1">
      <alignment horizontal="center" vertical="center"/>
    </xf>
    <xf numFmtId="1" fontId="0" fillId="12" borderId="9" xfId="0" applyNumberFormat="1" applyFill="1" applyBorder="1" applyAlignment="1">
      <alignment horizontal="center" vertical="center"/>
    </xf>
    <xf numFmtId="0" fontId="0" fillId="16" borderId="9" xfId="0" applyFill="1" applyBorder="1" applyAlignment="1">
      <alignment horizontal="center" vertical="center"/>
    </xf>
    <xf numFmtId="0" fontId="0" fillId="0" borderId="10" xfId="0" applyBorder="1" applyAlignment="1">
      <alignment horizontal="center" vertical="center" wrapText="1"/>
    </xf>
    <xf numFmtId="0" fontId="0" fillId="0" borderId="33" xfId="0" applyBorder="1" applyAlignment="1">
      <alignment horizontal="center" vertical="center"/>
    </xf>
    <xf numFmtId="0" fontId="0" fillId="0" borderId="35" xfId="0" applyBorder="1" applyAlignment="1">
      <alignment horizontal="center" vertical="center" wrapText="1"/>
    </xf>
    <xf numFmtId="0" fontId="0" fillId="0" borderId="13" xfId="0" applyBorder="1" applyAlignment="1">
      <alignment vertical="center"/>
    </xf>
    <xf numFmtId="0" fontId="0" fillId="0" borderId="24" xfId="0" applyBorder="1" applyAlignment="1">
      <alignment horizontal="center" vertical="center" wrapText="1"/>
    </xf>
    <xf numFmtId="166" fontId="0" fillId="2" borderId="9" xfId="0" applyNumberFormat="1" applyFill="1" applyBorder="1" applyAlignment="1">
      <alignment horizontal="center" vertical="center"/>
    </xf>
    <xf numFmtId="1" fontId="0" fillId="16" borderId="9" xfId="0" applyNumberFormat="1" applyFill="1" applyBorder="1" applyAlignment="1">
      <alignment horizontal="center" vertical="center"/>
    </xf>
    <xf numFmtId="166" fontId="0" fillId="16" borderId="9" xfId="0" applyNumberFormat="1" applyFill="1" applyBorder="1" applyAlignment="1">
      <alignment horizontal="center" vertical="center"/>
    </xf>
    <xf numFmtId="168" fontId="0" fillId="16" borderId="9" xfId="0" applyNumberFormat="1" applyFill="1" applyBorder="1" applyAlignment="1">
      <alignment horizontal="center" vertical="center"/>
    </xf>
    <xf numFmtId="0" fontId="0" fillId="0" borderId="13" xfId="0" applyBorder="1" applyAlignment="1">
      <alignment horizontal="center" vertical="center" wrapText="1"/>
    </xf>
    <xf numFmtId="0" fontId="0" fillId="0" borderId="17" xfId="0" applyBorder="1" applyAlignment="1">
      <alignment vertical="center"/>
    </xf>
    <xf numFmtId="1" fontId="26" fillId="11" borderId="9" xfId="0" applyNumberFormat="1" applyFont="1" applyFill="1" applyBorder="1" applyAlignment="1">
      <alignment horizontal="center" vertical="center"/>
    </xf>
    <xf numFmtId="1" fontId="0" fillId="11" borderId="9" xfId="0" applyNumberFormat="1" applyFill="1" applyBorder="1" applyAlignment="1">
      <alignment horizontal="center" vertical="center" wrapText="1"/>
    </xf>
    <xf numFmtId="0" fontId="0" fillId="0" borderId="18" xfId="0" applyBorder="1" applyAlignment="1">
      <alignment horizontal="center" vertical="center" wrapText="1"/>
    </xf>
    <xf numFmtId="0" fontId="0" fillId="0" borderId="7" xfId="0" applyBorder="1" applyAlignment="1">
      <alignment horizontal="center" vertical="center" wrapText="1"/>
    </xf>
    <xf numFmtId="166" fontId="0" fillId="0" borderId="0" xfId="0" applyNumberFormat="1" applyAlignment="1">
      <alignment horizontal="center"/>
    </xf>
    <xf numFmtId="168" fontId="0" fillId="0" borderId="0" xfId="0" applyNumberFormat="1" applyAlignment="1">
      <alignment horizontal="center"/>
    </xf>
    <xf numFmtId="1" fontId="0" fillId="0" borderId="0" xfId="0" applyNumberFormat="1" applyAlignment="1">
      <alignment horizontal="center"/>
    </xf>
    <xf numFmtId="0" fontId="0" fillId="15" borderId="9" xfId="0" applyFill="1" applyBorder="1" applyAlignment="1" applyProtection="1">
      <alignment horizontal="center" vertical="center"/>
      <protection locked="0"/>
    </xf>
    <xf numFmtId="166" fontId="0" fillId="15" borderId="9" xfId="0" applyNumberFormat="1" applyFill="1" applyBorder="1" applyAlignment="1" applyProtection="1">
      <alignment horizontal="center" vertical="center"/>
      <protection locked="0"/>
    </xf>
    <xf numFmtId="49" fontId="10" fillId="15" borderId="43" xfId="0" applyNumberFormat="1" applyFont="1" applyFill="1" applyBorder="1" applyAlignment="1">
      <alignment horizontal="center" vertical="center"/>
    </xf>
    <xf numFmtId="164" fontId="10" fillId="2" borderId="37" xfId="0" applyNumberFormat="1" applyFont="1" applyFill="1" applyBorder="1" applyAlignment="1">
      <alignment horizontal="center" vertical="center"/>
    </xf>
    <xf numFmtId="0" fontId="4" fillId="0" borderId="35" xfId="0" applyFont="1" applyBorder="1" applyAlignment="1">
      <alignment horizontal="center" vertical="center"/>
    </xf>
    <xf numFmtId="0" fontId="0" fillId="21" borderId="32" xfId="0" applyFill="1" applyBorder="1" applyAlignment="1">
      <alignment horizontal="left" vertical="center"/>
    </xf>
    <xf numFmtId="1" fontId="26" fillId="21" borderId="15" xfId="0" applyNumberFormat="1" applyFont="1" applyFill="1" applyBorder="1" applyAlignment="1">
      <alignment horizontal="left" vertical="center" indent="1"/>
    </xf>
    <xf numFmtId="0" fontId="0" fillId="0" borderId="33" xfId="0" applyBorder="1" applyAlignment="1">
      <alignment horizontal="center" vertical="center" wrapText="1"/>
    </xf>
    <xf numFmtId="0" fontId="4" fillId="0" borderId="3" xfId="0" applyFont="1" applyBorder="1" applyAlignment="1">
      <alignment horizontal="center" vertical="center"/>
    </xf>
    <xf numFmtId="0" fontId="4" fillId="11" borderId="44" xfId="0" applyFont="1" applyFill="1" applyBorder="1" applyAlignment="1">
      <alignment horizontal="center" vertical="center" wrapText="1"/>
    </xf>
    <xf numFmtId="0" fontId="4" fillId="21" borderId="45" xfId="0" applyFont="1" applyFill="1" applyBorder="1" applyAlignment="1">
      <alignment horizontal="center" vertical="center"/>
    </xf>
    <xf numFmtId="0" fontId="4" fillId="21" borderId="46" xfId="0" applyFont="1" applyFill="1" applyBorder="1" applyAlignment="1">
      <alignment vertical="center" wrapText="1"/>
    </xf>
    <xf numFmtId="1" fontId="23" fillId="21" borderId="42" xfId="1" applyNumberFormat="1" applyFont="1" applyFill="1" applyBorder="1" applyAlignment="1" applyProtection="1">
      <alignment horizontal="center" vertical="center"/>
    </xf>
    <xf numFmtId="166" fontId="0" fillId="11" borderId="48" xfId="0" applyNumberFormat="1" applyFill="1" applyBorder="1" applyAlignment="1">
      <alignment horizontal="center" vertical="center" wrapText="1"/>
    </xf>
    <xf numFmtId="9" fontId="4" fillId="11" borderId="51" xfId="0" applyNumberFormat="1" applyFont="1" applyFill="1" applyBorder="1" applyAlignment="1">
      <alignment horizontal="center" vertical="center"/>
    </xf>
    <xf numFmtId="0" fontId="21" fillId="6" borderId="13" xfId="0" applyFont="1" applyFill="1" applyBorder="1" applyAlignment="1">
      <alignment vertical="center" wrapText="1"/>
    </xf>
    <xf numFmtId="0" fontId="21" fillId="6" borderId="18" xfId="0" applyFont="1" applyFill="1" applyBorder="1" applyAlignment="1">
      <alignment horizontal="center" vertical="center" wrapText="1"/>
    </xf>
    <xf numFmtId="0" fontId="21" fillId="0" borderId="0" xfId="0" applyFont="1"/>
    <xf numFmtId="1" fontId="26" fillId="11" borderId="47" xfId="0" applyNumberFormat="1" applyFont="1" applyFill="1" applyBorder="1" applyAlignment="1">
      <alignment horizontal="left" vertical="center" indent="1"/>
    </xf>
    <xf numFmtId="0" fontId="0" fillId="0" borderId="41" xfId="0" applyBorder="1" applyAlignment="1">
      <alignment horizontal="center" vertical="center" wrapText="1"/>
    </xf>
    <xf numFmtId="0" fontId="0" fillId="8" borderId="41" xfId="0" applyFill="1" applyBorder="1" applyAlignment="1">
      <alignment horizontal="center" vertical="center"/>
    </xf>
    <xf numFmtId="0" fontId="0" fillId="16" borderId="42" xfId="0" applyFill="1" applyBorder="1" applyAlignment="1">
      <alignment horizontal="center" vertical="center" wrapText="1"/>
    </xf>
    <xf numFmtId="0" fontId="0" fillId="10" borderId="40" xfId="0" applyFill="1" applyBorder="1" applyAlignment="1">
      <alignment horizontal="center" vertical="center"/>
    </xf>
    <xf numFmtId="0" fontId="4" fillId="11" borderId="32" xfId="0" applyFont="1" applyFill="1" applyBorder="1" applyAlignment="1">
      <alignment horizontal="center" vertical="center" wrapText="1"/>
    </xf>
    <xf numFmtId="0" fontId="2" fillId="0" borderId="0" xfId="0" applyFont="1"/>
    <xf numFmtId="0" fontId="37" fillId="24" borderId="43" xfId="3" applyFont="1" applyFill="1" applyBorder="1" applyAlignment="1">
      <alignment vertical="center" wrapText="1"/>
    </xf>
    <xf numFmtId="0" fontId="35" fillId="22" borderId="53" xfId="3" applyFont="1" applyFill="1" applyBorder="1" applyAlignment="1">
      <alignment horizontal="center" vertical="center" wrapText="1"/>
    </xf>
    <xf numFmtId="0" fontId="35" fillId="22" borderId="55" xfId="3" applyFont="1" applyFill="1" applyBorder="1" applyAlignment="1">
      <alignment horizontal="center" vertical="center" wrapText="1"/>
    </xf>
    <xf numFmtId="0" fontId="34" fillId="22" borderId="55" xfId="3" applyFont="1" applyFill="1" applyBorder="1" applyAlignment="1">
      <alignment horizontal="center" vertical="center" wrapText="1"/>
    </xf>
    <xf numFmtId="0" fontId="39" fillId="24" borderId="42" xfId="3" applyFont="1" applyFill="1" applyBorder="1" applyAlignment="1">
      <alignment horizontal="center" vertical="center" wrapText="1"/>
    </xf>
    <xf numFmtId="0" fontId="39" fillId="24" borderId="42" xfId="3" quotePrefix="1" applyFont="1" applyFill="1" applyBorder="1" applyAlignment="1">
      <alignment horizontal="center" vertical="center" wrapText="1"/>
    </xf>
    <xf numFmtId="0" fontId="37" fillId="24" borderId="42" xfId="3" applyFont="1" applyFill="1" applyBorder="1" applyAlignment="1">
      <alignment horizontal="center" vertical="center" wrapText="1"/>
    </xf>
    <xf numFmtId="0" fontId="37" fillId="8" borderId="42" xfId="3" applyFont="1" applyFill="1" applyBorder="1" applyAlignment="1">
      <alignment horizontal="center" vertical="center" wrapText="1"/>
    </xf>
    <xf numFmtId="0" fontId="39" fillId="8" borderId="42" xfId="3" applyFont="1" applyFill="1" applyBorder="1" applyAlignment="1">
      <alignment horizontal="center" vertical="center" wrapText="1"/>
    </xf>
    <xf numFmtId="0" fontId="37" fillId="8" borderId="36" xfId="3" applyFont="1" applyFill="1" applyBorder="1" applyAlignment="1">
      <alignment horizontal="center" vertical="center" wrapText="1"/>
    </xf>
    <xf numFmtId="0" fontId="35" fillId="0" borderId="0" xfId="3" applyFont="1" applyAlignment="1">
      <alignment vertical="center"/>
    </xf>
    <xf numFmtId="49" fontId="8" fillId="0" borderId="0" xfId="0" applyNumberFormat="1" applyFont="1" applyAlignment="1">
      <alignment vertical="center"/>
    </xf>
    <xf numFmtId="0" fontId="8" fillId="0" borderId="0" xfId="0" applyFont="1" applyAlignment="1">
      <alignment horizontal="left" vertical="top"/>
    </xf>
    <xf numFmtId="0" fontId="12" fillId="0" borderId="0" xfId="0" applyFont="1" applyAlignment="1">
      <alignment horizontal="right" vertical="top"/>
    </xf>
    <xf numFmtId="0" fontId="12" fillId="0" borderId="0" xfId="0" applyFont="1" applyAlignment="1">
      <alignment horizontal="left" vertical="center" wrapText="1"/>
    </xf>
    <xf numFmtId="0" fontId="0" fillId="0" borderId="0" xfId="0" applyAlignment="1">
      <alignment horizontal="center" vertical="center"/>
    </xf>
    <xf numFmtId="0" fontId="0" fillId="5" borderId="21" xfId="0" applyFill="1" applyBorder="1" applyAlignment="1">
      <alignment horizontal="left" vertical="center" wrapText="1"/>
    </xf>
    <xf numFmtId="166" fontId="0" fillId="15" borderId="22" xfId="1" applyNumberFormat="1" applyFont="1" applyFill="1" applyBorder="1" applyAlignment="1" applyProtection="1">
      <alignment horizontal="center" vertical="center"/>
      <protection locked="0"/>
    </xf>
    <xf numFmtId="0" fontId="21" fillId="19" borderId="9" xfId="0" applyFont="1" applyFill="1" applyBorder="1" applyAlignment="1" applyProtection="1">
      <alignment horizontal="center" vertical="center"/>
      <protection locked="0"/>
    </xf>
    <xf numFmtId="164" fontId="15" fillId="20" borderId="22" xfId="0" applyNumberFormat="1" applyFont="1" applyFill="1" applyBorder="1" applyAlignment="1">
      <alignment horizontal="center" vertical="center"/>
    </xf>
    <xf numFmtId="166" fontId="0" fillId="0" borderId="22" xfId="1" applyNumberFormat="1" applyFont="1" applyBorder="1" applyAlignment="1" applyProtection="1">
      <alignment horizontal="center" vertical="center"/>
    </xf>
    <xf numFmtId="166" fontId="21" fillId="15" borderId="17" xfId="0" applyNumberFormat="1" applyFont="1" applyFill="1" applyBorder="1" applyAlignment="1" applyProtection="1">
      <alignment horizontal="center" vertical="center"/>
      <protection locked="0"/>
    </xf>
    <xf numFmtId="164" fontId="15" fillId="20" borderId="17" xfId="0" applyNumberFormat="1" applyFont="1" applyFill="1" applyBorder="1" applyAlignment="1">
      <alignment horizontal="center" vertical="center"/>
    </xf>
    <xf numFmtId="0" fontId="42" fillId="0" borderId="37" xfId="0" applyFont="1" applyBorder="1" applyAlignment="1">
      <alignment vertical="center"/>
    </xf>
    <xf numFmtId="0" fontId="42" fillId="0" borderId="57" xfId="0" applyFont="1" applyBorder="1" applyAlignment="1">
      <alignment vertical="center"/>
    </xf>
    <xf numFmtId="0" fontId="40" fillId="0" borderId="37" xfId="0" applyFont="1" applyBorder="1" applyAlignment="1">
      <alignment vertical="center"/>
    </xf>
    <xf numFmtId="0" fontId="40" fillId="0" borderId="57" xfId="0" applyFont="1" applyBorder="1" applyAlignment="1">
      <alignment vertical="center" wrapText="1"/>
    </xf>
    <xf numFmtId="0" fontId="40" fillId="0" borderId="57" xfId="0" applyFont="1" applyBorder="1" applyAlignment="1">
      <alignment vertical="center"/>
    </xf>
    <xf numFmtId="16" fontId="40" fillId="0" borderId="57" xfId="0" applyNumberFormat="1" applyFont="1" applyBorder="1" applyAlignment="1">
      <alignment vertical="center"/>
    </xf>
    <xf numFmtId="0" fontId="41" fillId="0" borderId="57" xfId="0" applyFont="1" applyBorder="1" applyAlignment="1">
      <alignment vertical="center"/>
    </xf>
    <xf numFmtId="0" fontId="41" fillId="0" borderId="37" xfId="0" applyFont="1" applyBorder="1" applyAlignment="1">
      <alignment vertical="center"/>
    </xf>
    <xf numFmtId="0" fontId="41" fillId="0" borderId="57" xfId="0" applyFont="1" applyBorder="1" applyAlignment="1">
      <alignment vertical="center" wrapText="1"/>
    </xf>
    <xf numFmtId="17" fontId="41" fillId="0" borderId="57" xfId="0" applyNumberFormat="1" applyFont="1" applyBorder="1" applyAlignment="1">
      <alignment vertical="center"/>
    </xf>
    <xf numFmtId="16" fontId="41" fillId="0" borderId="37" xfId="0" applyNumberFormat="1" applyFont="1" applyBorder="1" applyAlignment="1">
      <alignment vertical="center"/>
    </xf>
    <xf numFmtId="16" fontId="41" fillId="0" borderId="57" xfId="0" applyNumberFormat="1" applyFont="1" applyBorder="1" applyAlignment="1">
      <alignment vertical="center"/>
    </xf>
    <xf numFmtId="0" fontId="33" fillId="0" borderId="42"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5" xfId="0" applyFont="1" applyBorder="1" applyAlignment="1">
      <alignment horizontal="center" vertical="center" wrapText="1"/>
    </xf>
    <xf numFmtId="166" fontId="0" fillId="0" borderId="9" xfId="0" applyNumberFormat="1" applyBorder="1" applyAlignment="1">
      <alignment horizontal="center" vertical="center"/>
    </xf>
    <xf numFmtId="0" fontId="0" fillId="0" borderId="0" xfId="0" applyAlignment="1">
      <alignment vertical="center" wrapText="1"/>
    </xf>
    <xf numFmtId="0" fontId="33" fillId="0" borderId="37" xfId="0" applyFont="1" applyBorder="1" applyAlignment="1">
      <alignment horizontal="center" vertical="center" wrapText="1"/>
    </xf>
    <xf numFmtId="0" fontId="4" fillId="11" borderId="15" xfId="0" applyFont="1" applyFill="1" applyBorder="1" applyAlignment="1">
      <alignment horizontal="center" vertical="center" wrapText="1"/>
    </xf>
    <xf numFmtId="0" fontId="21" fillId="8" borderId="9" xfId="0" applyFont="1" applyFill="1" applyBorder="1" applyAlignment="1">
      <alignment horizontal="center" vertical="center"/>
    </xf>
    <xf numFmtId="0" fontId="0" fillId="0" borderId="20" xfId="0" applyBorder="1"/>
    <xf numFmtId="0" fontId="21" fillId="6" borderId="13"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4" borderId="9" xfId="0" applyFont="1" applyFill="1" applyBorder="1" applyAlignment="1">
      <alignment horizontal="center" vertical="center" wrapText="1"/>
    </xf>
    <xf numFmtId="0" fontId="21" fillId="16" borderId="9" xfId="0" applyFont="1" applyFill="1" applyBorder="1" applyAlignment="1">
      <alignment horizontal="center" vertical="center"/>
    </xf>
    <xf numFmtId="0" fontId="34" fillId="22" borderId="37" xfId="3" applyFont="1" applyFill="1" applyBorder="1" applyAlignment="1">
      <alignment horizontal="center" vertical="center" wrapText="1"/>
    </xf>
    <xf numFmtId="0" fontId="37" fillId="0" borderId="0" xfId="0" applyFont="1"/>
    <xf numFmtId="0" fontId="37" fillId="0" borderId="27" xfId="0" applyFont="1" applyBorder="1"/>
    <xf numFmtId="0" fontId="47" fillId="0" borderId="0" xfId="0" applyFont="1"/>
    <xf numFmtId="0" fontId="37" fillId="25" borderId="22" xfId="0" applyFont="1" applyFill="1" applyBorder="1"/>
    <xf numFmtId="0" fontId="37" fillId="25" borderId="27" xfId="0" applyFont="1" applyFill="1" applyBorder="1"/>
    <xf numFmtId="0" fontId="34" fillId="25" borderId="27" xfId="0" applyFont="1" applyFill="1" applyBorder="1"/>
    <xf numFmtId="0" fontId="34" fillId="25" borderId="32" xfId="0" applyFont="1" applyFill="1" applyBorder="1"/>
    <xf numFmtId="0" fontId="37" fillId="0" borderId="22" xfId="0" applyFont="1" applyBorder="1"/>
    <xf numFmtId="0" fontId="31" fillId="0" borderId="58" xfId="0" applyFont="1" applyBorder="1"/>
    <xf numFmtId="0" fontId="0" fillId="8" borderId="0" xfId="0" applyFill="1" applyAlignment="1">
      <alignment horizontal="center" vertical="center"/>
    </xf>
    <xf numFmtId="0" fontId="0" fillId="9" borderId="0" xfId="0" applyFill="1" applyAlignment="1">
      <alignment horizontal="center" vertical="center" wrapText="1"/>
    </xf>
    <xf numFmtId="0" fontId="0" fillId="10" borderId="0" xfId="0" applyFill="1" applyAlignment="1">
      <alignment horizontal="center" vertical="center"/>
    </xf>
    <xf numFmtId="0" fontId="42" fillId="0" borderId="36" xfId="0" applyFont="1" applyBorder="1" applyAlignment="1">
      <alignment vertical="center"/>
    </xf>
    <xf numFmtId="0" fontId="42" fillId="0" borderId="59" xfId="0" applyFont="1" applyBorder="1" applyAlignment="1">
      <alignment vertical="center"/>
    </xf>
    <xf numFmtId="1" fontId="22" fillId="0" borderId="0" xfId="0" applyNumberFormat="1" applyFont="1" applyAlignment="1">
      <alignment horizontal="center" vertical="center"/>
    </xf>
    <xf numFmtId="1" fontId="23" fillId="0" borderId="0" xfId="0" applyNumberFormat="1" applyFont="1" applyAlignment="1">
      <alignment horizontal="center" vertical="center"/>
    </xf>
    <xf numFmtId="1" fontId="26" fillId="0" borderId="0" xfId="0" applyNumberFormat="1" applyFont="1" applyAlignment="1">
      <alignment horizontal="left" vertical="center" indent="1"/>
    </xf>
    <xf numFmtId="1" fontId="0" fillId="0" borderId="0" xfId="0" applyNumberFormat="1"/>
    <xf numFmtId="0" fontId="46" fillId="5" borderId="20" xfId="0" applyFont="1" applyFill="1" applyBorder="1" applyAlignment="1">
      <alignment vertical="center" wrapText="1"/>
    </xf>
    <xf numFmtId="0" fontId="46" fillId="0" borderId="0" xfId="0" applyFont="1" applyAlignment="1">
      <alignment vertical="center" wrapText="1"/>
    </xf>
    <xf numFmtId="1" fontId="0" fillId="15" borderId="22" xfId="1" applyNumberFormat="1" applyFont="1" applyFill="1" applyBorder="1" applyAlignment="1" applyProtection="1">
      <alignment horizontal="center" vertical="center"/>
      <protection locked="0"/>
    </xf>
    <xf numFmtId="1" fontId="4" fillId="6" borderId="22" xfId="1" applyNumberFormat="1" applyFont="1" applyFill="1" applyBorder="1" applyAlignment="1" applyProtection="1">
      <alignment horizontal="center" vertical="center"/>
    </xf>
    <xf numFmtId="0" fontId="37" fillId="0" borderId="27" xfId="0" applyFont="1" applyBorder="1" applyProtection="1">
      <protection locked="0"/>
    </xf>
    <xf numFmtId="0" fontId="37" fillId="0" borderId="27" xfId="0" applyFont="1" applyBorder="1" applyAlignment="1" applyProtection="1">
      <alignment wrapText="1"/>
      <protection locked="0"/>
    </xf>
    <xf numFmtId="0" fontId="31" fillId="0" borderId="58" xfId="0" applyFont="1" applyBorder="1" applyProtection="1">
      <protection locked="0"/>
    </xf>
    <xf numFmtId="0" fontId="43" fillId="3" borderId="8" xfId="0" applyFont="1" applyFill="1" applyBorder="1" applyAlignment="1">
      <alignment horizontal="center" vertical="center" wrapText="1"/>
    </xf>
    <xf numFmtId="0" fontId="34" fillId="0" borderId="0" xfId="0" applyFont="1"/>
    <xf numFmtId="0" fontId="49" fillId="0" borderId="0" xfId="0" applyFont="1"/>
    <xf numFmtId="0" fontId="0" fillId="0" borderId="58" xfId="0" applyBorder="1"/>
    <xf numFmtId="0" fontId="37" fillId="0" borderId="58" xfId="0" applyFont="1" applyBorder="1"/>
    <xf numFmtId="0" fontId="0" fillId="0" borderId="58" xfId="0" applyBorder="1" applyAlignment="1">
      <alignment vertical="center" wrapText="1"/>
    </xf>
    <xf numFmtId="0" fontId="37" fillId="0" borderId="58" xfId="0" applyFont="1" applyBorder="1" applyAlignment="1">
      <alignment wrapText="1"/>
    </xf>
    <xf numFmtId="0" fontId="1" fillId="0" borderId="0" xfId="0" applyFont="1" applyAlignment="1">
      <alignment vertical="center"/>
    </xf>
    <xf numFmtId="0" fontId="46" fillId="5" borderId="20" xfId="0" applyFont="1" applyFill="1" applyBorder="1" applyAlignment="1">
      <alignment horizontal="left" vertical="center" wrapText="1"/>
    </xf>
    <xf numFmtId="0" fontId="42" fillId="0" borderId="41" xfId="0" applyFont="1" applyBorder="1" applyAlignment="1">
      <alignment vertical="center"/>
    </xf>
    <xf numFmtId="0" fontId="42" fillId="0" borderId="54" xfId="0" applyFont="1" applyBorder="1" applyAlignment="1">
      <alignment vertical="center"/>
    </xf>
    <xf numFmtId="0" fontId="42" fillId="0" borderId="40" xfId="0" applyFont="1" applyBorder="1" applyAlignment="1">
      <alignment vertical="center"/>
    </xf>
    <xf numFmtId="0" fontId="33" fillId="0" borderId="43" xfId="0" applyFont="1" applyBorder="1" applyAlignment="1">
      <alignment horizontal="center" vertical="center" wrapText="1"/>
    </xf>
    <xf numFmtId="0" fontId="33" fillId="0" borderId="37" xfId="0" applyFont="1" applyBorder="1" applyAlignment="1">
      <alignment horizontal="center" vertical="center" wrapText="1"/>
    </xf>
    <xf numFmtId="1" fontId="21" fillId="12" borderId="19" xfId="0" applyNumberFormat="1" applyFont="1" applyFill="1" applyBorder="1" applyAlignment="1">
      <alignment horizontal="left" vertical="center"/>
    </xf>
    <xf numFmtId="0" fontId="0" fillId="0" borderId="28" xfId="0" applyBorder="1" applyAlignment="1">
      <alignment horizontal="left" vertical="center"/>
    </xf>
    <xf numFmtId="1" fontId="21" fillId="12" borderId="15" xfId="0" applyNumberFormat="1" applyFont="1" applyFill="1" applyBorder="1" applyAlignment="1">
      <alignment horizontal="left" vertical="center"/>
    </xf>
    <xf numFmtId="0" fontId="0" fillId="0" borderId="32" xfId="0" applyBorder="1" applyAlignment="1">
      <alignment horizontal="left" vertical="center"/>
    </xf>
    <xf numFmtId="0" fontId="4" fillId="11" borderId="15"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13" fillId="0" borderId="7" xfId="0" applyFont="1" applyBorder="1" applyAlignment="1">
      <alignment horizontal="center" vertical="center" textRotation="90"/>
    </xf>
    <xf numFmtId="0" fontId="13" fillId="0" borderId="12" xfId="0" applyFont="1" applyBorder="1" applyAlignment="1">
      <alignment horizontal="center" vertical="center" textRotation="90"/>
    </xf>
    <xf numFmtId="0" fontId="13" fillId="0" borderId="16" xfId="0" applyFont="1" applyBorder="1" applyAlignment="1">
      <alignment horizontal="center" vertical="center" textRotation="90"/>
    </xf>
    <xf numFmtId="0" fontId="13" fillId="0" borderId="21" xfId="0" applyFont="1" applyBorder="1" applyAlignment="1">
      <alignment horizontal="center" vertical="center" textRotation="90"/>
    </xf>
    <xf numFmtId="166" fontId="0" fillId="0" borderId="9" xfId="0" applyNumberFormat="1" applyBorder="1" applyAlignment="1">
      <alignment horizontal="center" vertical="center"/>
    </xf>
    <xf numFmtId="0" fontId="32" fillId="11" borderId="9" xfId="0" applyFont="1" applyFill="1" applyBorder="1" applyAlignment="1">
      <alignment horizontal="center" vertical="center" wrapText="1"/>
    </xf>
    <xf numFmtId="49" fontId="6" fillId="0" borderId="0" xfId="0" applyNumberFormat="1" applyFont="1" applyAlignment="1">
      <alignment vertical="center" wrapText="1"/>
    </xf>
    <xf numFmtId="0" fontId="0" fillId="0" borderId="55" xfId="0" applyBorder="1" applyAlignment="1">
      <alignment vertical="center" wrapText="1"/>
    </xf>
    <xf numFmtId="0" fontId="0" fillId="0" borderId="0" xfId="0" applyAlignment="1">
      <alignment vertical="center" wrapText="1"/>
    </xf>
    <xf numFmtId="0" fontId="21" fillId="8" borderId="9" xfId="0" applyFont="1" applyFill="1" applyBorder="1" applyAlignment="1">
      <alignment horizontal="center" vertical="center"/>
    </xf>
    <xf numFmtId="0" fontId="11" fillId="12" borderId="39" xfId="0" applyFont="1" applyFill="1" applyBorder="1" applyAlignment="1">
      <alignment horizontal="left" vertical="center" wrapText="1"/>
    </xf>
    <xf numFmtId="0" fontId="11" fillId="12" borderId="0" xfId="0" applyFont="1" applyFill="1" applyAlignment="1">
      <alignment horizontal="left" vertical="center"/>
    </xf>
    <xf numFmtId="0" fontId="0" fillId="0" borderId="23" xfId="0" applyBorder="1" applyAlignment="1">
      <alignment wrapText="1"/>
    </xf>
    <xf numFmtId="0" fontId="0" fillId="0" borderId="20" xfId="0" applyBorder="1" applyAlignment="1">
      <alignment wrapText="1"/>
    </xf>
    <xf numFmtId="2" fontId="21" fillId="6" borderId="24" xfId="0" applyNumberFormat="1" applyFont="1" applyFill="1" applyBorder="1" applyAlignment="1">
      <alignment horizontal="center" vertical="center" wrapText="1"/>
    </xf>
    <xf numFmtId="2" fontId="21" fillId="6" borderId="13" xfId="0" applyNumberFormat="1"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4" borderId="9" xfId="0" applyFont="1" applyFill="1" applyBorder="1" applyAlignment="1">
      <alignment horizontal="center" vertical="center" wrapText="1"/>
    </xf>
    <xf numFmtId="0" fontId="21" fillId="16" borderId="9" xfId="0" applyFont="1" applyFill="1" applyBorder="1" applyAlignment="1">
      <alignment horizontal="center" vertical="center"/>
    </xf>
    <xf numFmtId="0" fontId="29" fillId="0" borderId="9" xfId="0" applyFont="1" applyBorder="1" applyAlignment="1">
      <alignment horizontal="center" vertical="center"/>
    </xf>
    <xf numFmtId="0" fontId="4" fillId="11" borderId="49" xfId="0" applyFont="1" applyFill="1" applyBorder="1" applyAlignment="1">
      <alignment horizontal="center" vertical="center" wrapText="1"/>
    </xf>
    <xf numFmtId="0" fontId="0" fillId="0" borderId="50" xfId="0" applyBorder="1" applyAlignment="1">
      <alignment horizontal="center" vertical="center" wrapText="1"/>
    </xf>
    <xf numFmtId="0" fontId="39" fillId="24" borderId="43" xfId="3" applyFont="1" applyFill="1" applyBorder="1" applyAlignment="1">
      <alignment horizontal="center" vertical="center" wrapText="1"/>
    </xf>
    <xf numFmtId="0" fontId="39" fillId="24" borderId="37" xfId="3" applyFont="1" applyFill="1" applyBorder="1" applyAlignment="1">
      <alignment horizontal="center" vertical="center" wrapText="1"/>
    </xf>
    <xf numFmtId="0" fontId="37" fillId="24" borderId="43" xfId="3" applyFont="1" applyFill="1" applyBorder="1" applyAlignment="1">
      <alignment horizontal="center" vertical="center" wrapText="1"/>
    </xf>
    <xf numFmtId="0" fontId="37" fillId="24" borderId="37" xfId="3" applyFont="1" applyFill="1" applyBorder="1" applyAlignment="1">
      <alignment horizontal="center" vertical="center" wrapText="1"/>
    </xf>
    <xf numFmtId="166" fontId="21" fillId="0" borderId="13" xfId="1" applyNumberFormat="1" applyFont="1" applyFill="1" applyBorder="1" applyAlignment="1" applyProtection="1">
      <alignment horizontal="center" vertical="center"/>
    </xf>
    <xf numFmtId="0" fontId="37" fillId="24" borderId="56" xfId="3" applyFont="1" applyFill="1" applyBorder="1" applyAlignment="1">
      <alignment horizontal="center" vertical="center" wrapText="1"/>
    </xf>
    <xf numFmtId="0" fontId="37" fillId="24" borderId="52" xfId="3" applyFont="1" applyFill="1" applyBorder="1" applyAlignment="1">
      <alignment horizontal="center" vertical="center" wrapText="1"/>
    </xf>
    <xf numFmtId="0" fontId="37" fillId="24" borderId="36" xfId="3" applyFont="1" applyFill="1" applyBorder="1" applyAlignment="1">
      <alignment horizontal="center" vertical="center" wrapText="1"/>
    </xf>
    <xf numFmtId="0" fontId="37" fillId="0" borderId="43" xfId="3" applyFont="1" applyBorder="1" applyAlignment="1">
      <alignment horizontal="center" vertical="center" wrapText="1"/>
    </xf>
    <xf numFmtId="0" fontId="37" fillId="0" borderId="53" xfId="3" applyFont="1" applyBorder="1" applyAlignment="1">
      <alignment horizontal="center" vertical="center" wrapText="1"/>
    </xf>
    <xf numFmtId="0" fontId="37" fillId="0" borderId="37" xfId="3" applyFont="1" applyBorder="1" applyAlignment="1">
      <alignment horizontal="center" vertical="center" wrapText="1"/>
    </xf>
    <xf numFmtId="0" fontId="34" fillId="22" borderId="43" xfId="3" applyFont="1" applyFill="1" applyBorder="1" applyAlignment="1">
      <alignment horizontal="center" vertical="center" wrapText="1"/>
    </xf>
    <xf numFmtId="0" fontId="34" fillId="22" borderId="37" xfId="3" applyFont="1" applyFill="1" applyBorder="1" applyAlignment="1">
      <alignment horizontal="center" vertical="center" wrapText="1"/>
    </xf>
    <xf numFmtId="0" fontId="34" fillId="23" borderId="43" xfId="3" applyFont="1" applyFill="1" applyBorder="1" applyAlignment="1">
      <alignment horizontal="center" vertical="center" wrapText="1"/>
    </xf>
    <xf numFmtId="0" fontId="34" fillId="23" borderId="37" xfId="3" applyFont="1" applyFill="1" applyBorder="1" applyAlignment="1">
      <alignment horizontal="center" vertical="center" wrapText="1"/>
    </xf>
    <xf numFmtId="0" fontId="34" fillId="23" borderId="0" xfId="3" applyFont="1" applyFill="1" applyAlignment="1">
      <alignment horizontal="center" vertical="center" wrapText="1"/>
    </xf>
    <xf numFmtId="0" fontId="35" fillId="22" borderId="41" xfId="3" applyFont="1" applyFill="1" applyBorder="1" applyAlignment="1">
      <alignment horizontal="center" vertical="center" wrapText="1"/>
    </xf>
    <xf numFmtId="0" fontId="35" fillId="22" borderId="54" xfId="3" applyFont="1" applyFill="1" applyBorder="1" applyAlignment="1">
      <alignment horizontal="center" vertical="center" wrapText="1"/>
    </xf>
    <xf numFmtId="0" fontId="35" fillId="22" borderId="40" xfId="3" applyFont="1" applyFill="1" applyBorder="1" applyAlignment="1">
      <alignment horizontal="center" vertical="center" wrapText="1"/>
    </xf>
    <xf numFmtId="0" fontId="36" fillId="23" borderId="53" xfId="3" applyFont="1" applyFill="1" applyBorder="1" applyAlignment="1">
      <alignment horizontal="center" vertical="center" wrapText="1"/>
    </xf>
    <xf numFmtId="0" fontId="36" fillId="23" borderId="52" xfId="3" applyFont="1" applyFill="1" applyBorder="1" applyAlignment="1">
      <alignment horizontal="center" vertical="center" wrapText="1"/>
    </xf>
    <xf numFmtId="0" fontId="36" fillId="23" borderId="37" xfId="3" applyFont="1" applyFill="1" applyBorder="1" applyAlignment="1">
      <alignment horizontal="center" vertical="center" wrapText="1"/>
    </xf>
    <xf numFmtId="0" fontId="34" fillId="22" borderId="41" xfId="3" applyFont="1" applyFill="1" applyBorder="1" applyAlignment="1">
      <alignment horizontal="center" vertical="center" wrapText="1"/>
    </xf>
    <xf numFmtId="0" fontId="34" fillId="22" borderId="54" xfId="3" applyFont="1" applyFill="1" applyBorder="1" applyAlignment="1">
      <alignment horizontal="center" vertical="center" wrapText="1"/>
    </xf>
    <xf numFmtId="0" fontId="34" fillId="22" borderId="40" xfId="3" applyFont="1" applyFill="1" applyBorder="1" applyAlignment="1">
      <alignment horizontal="center" vertical="center" wrapText="1"/>
    </xf>
    <xf numFmtId="0" fontId="36" fillId="23" borderId="0" xfId="3" applyFont="1" applyFill="1" applyAlignment="1">
      <alignment horizontal="center" vertical="center" wrapText="1"/>
    </xf>
    <xf numFmtId="0" fontId="36" fillId="23" borderId="36" xfId="3" applyFont="1" applyFill="1" applyBorder="1" applyAlignment="1">
      <alignment horizontal="center" vertical="center" wrapText="1"/>
    </xf>
    <xf numFmtId="0" fontId="34" fillId="22" borderId="53" xfId="3" applyFont="1" applyFill="1" applyBorder="1" applyAlignment="1">
      <alignment horizontal="center" vertical="center" wrapText="1"/>
    </xf>
    <xf numFmtId="0" fontId="37" fillId="24" borderId="53" xfId="3" applyFont="1" applyFill="1" applyBorder="1" applyAlignment="1">
      <alignment horizontal="center" vertical="center" wrapText="1"/>
    </xf>
    <xf numFmtId="0" fontId="39" fillId="24" borderId="53" xfId="3" applyFont="1" applyFill="1" applyBorder="1" applyAlignment="1">
      <alignment horizontal="center" vertical="center" wrapText="1"/>
    </xf>
    <xf numFmtId="0" fontId="39" fillId="24" borderId="43" xfId="3" quotePrefix="1" applyFont="1" applyFill="1" applyBorder="1" applyAlignment="1">
      <alignment horizontal="center" vertical="center" wrapText="1"/>
    </xf>
    <xf numFmtId="0" fontId="34" fillId="25" borderId="39" xfId="0" applyFont="1" applyFill="1" applyBorder="1" applyAlignment="1">
      <alignment horizontal="center"/>
    </xf>
    <xf numFmtId="0" fontId="34" fillId="25" borderId="0" xfId="0" applyFont="1" applyFill="1" applyAlignment="1">
      <alignment horizontal="center"/>
    </xf>
    <xf numFmtId="0" fontId="0" fillId="0" borderId="20" xfId="0" applyBorder="1" applyAlignment="1"/>
    <xf numFmtId="0" fontId="0" fillId="0" borderId="27" xfId="0" applyBorder="1" applyAlignment="1"/>
  </cellXfs>
  <cellStyles count="4">
    <cellStyle name="Normal" xfId="0" builtinId="0"/>
    <cellStyle name="Percent" xfId="1" builtinId="5"/>
    <cellStyle name="Standaard 2" xfId="3" xr:uid="{C6AFFF1D-1AA9-4CD9-8204-7A5F5A0BD1BD}"/>
    <cellStyle name="Standard 2" xfId="2" xr:uid="{831359C2-DDF6-4AE3-B1F3-FAE43EB171CA}"/>
  </cellStyles>
  <dxfs count="28">
    <dxf>
      <font>
        <color theme="0"/>
      </font>
      <fill>
        <patternFill>
          <fgColor auto="1"/>
          <bgColor rgb="FFFF0000"/>
        </patternFill>
      </fill>
    </dxf>
    <dxf>
      <font>
        <color theme="0"/>
      </font>
      <fill>
        <patternFill>
          <bgColor rgb="FFFF0000"/>
        </patternFill>
      </fill>
    </dxf>
    <dxf>
      <font>
        <color rgb="FFFF0000"/>
      </font>
    </dxf>
    <dxf>
      <font>
        <color rgb="FFFF0000"/>
      </font>
    </dxf>
    <dxf>
      <font>
        <color rgb="FFFF0000"/>
      </font>
    </dxf>
    <dxf>
      <font>
        <color rgb="FFFF0000"/>
      </font>
    </dxf>
    <dxf>
      <font>
        <color rgb="FFFF0000"/>
      </font>
    </dxf>
    <dxf>
      <fill>
        <patternFill>
          <bgColor theme="0" tint="-0.14996795556505021"/>
        </patternFill>
      </fill>
    </dxf>
    <dxf>
      <font>
        <color rgb="FFFF0000"/>
      </font>
    </dxf>
    <dxf>
      <font>
        <color rgb="FFFF0000"/>
      </font>
    </dxf>
    <dxf>
      <font>
        <color theme="0"/>
      </font>
      <fill>
        <patternFill>
          <bgColor rgb="FFFF0000"/>
        </patternFill>
      </fill>
    </dxf>
    <dxf>
      <font>
        <color theme="0"/>
      </font>
      <fill>
        <patternFill>
          <bgColor rgb="FFFF0000"/>
        </patternFill>
      </fill>
    </dxf>
    <dxf>
      <fill>
        <patternFill>
          <bgColor rgb="FF92D050"/>
        </patternFill>
      </fill>
    </dxf>
    <dxf>
      <font>
        <b/>
        <i val="0"/>
        <color theme="0"/>
      </font>
      <fill>
        <patternFill>
          <bgColor rgb="FFFF0000"/>
        </patternFill>
      </fill>
    </dxf>
    <dxf>
      <font>
        <color rgb="FF00B050"/>
      </font>
      <fill>
        <patternFill patternType="none">
          <bgColor auto="1"/>
        </patternFill>
      </fill>
    </dxf>
    <dxf>
      <font>
        <b/>
        <i val="0"/>
        <color rgb="FFFF0000"/>
      </font>
      <fill>
        <patternFill>
          <bgColor rgb="FFFFFF00"/>
        </patternFill>
      </fill>
    </dxf>
    <dxf>
      <font>
        <b/>
        <i val="0"/>
        <color rgb="FFFF0000"/>
      </font>
    </dxf>
    <dxf>
      <font>
        <b/>
        <i val="0"/>
        <color rgb="FFFF0000"/>
      </font>
    </dxf>
    <dxf>
      <font>
        <b/>
        <i val="0"/>
        <color auto="1"/>
      </font>
      <fill>
        <patternFill>
          <bgColor rgb="FFFF5050"/>
        </patternFill>
      </fill>
    </dxf>
    <dxf>
      <fill>
        <patternFill>
          <bgColor rgb="FF92D050"/>
        </patternFill>
      </fill>
    </dxf>
    <dxf>
      <numFmt numFmtId="168" formatCode="0.000"/>
      <alignment horizontal="center" vertical="bottom" textRotation="0" wrapText="0" indent="0" justifyLastLine="0" shrinkToFit="0" readingOrder="0"/>
      <protection locked="1" hidden="0"/>
    </dxf>
    <dxf>
      <numFmt numFmtId="166" formatCode="0.0"/>
      <alignment horizontal="center" vertical="bottom" textRotation="0" wrapText="0" indent="0" justifyLastLine="0" shrinkToFit="0" readingOrder="0"/>
      <protection locked="1" hidden="0"/>
    </dxf>
    <dxf>
      <protection locked="1" hidden="0"/>
    </dxf>
    <dxf>
      <protection locked="1" hidden="0"/>
    </dxf>
    <dxf>
      <alignment horizontal="center" vertical="bottom" textRotation="0" wrapText="0" indent="0" justifyLastLine="0" shrinkToFit="0" readingOrder="0"/>
      <protection locked="1" hidden="0"/>
    </dxf>
    <dxf>
      <fill>
        <patternFill>
          <bgColor rgb="FF92D050"/>
        </patternFill>
      </fill>
    </dxf>
    <dxf>
      <font>
        <b/>
        <i val="0"/>
        <color auto="1"/>
      </font>
      <fill>
        <patternFill>
          <bgColor rgb="FFFF5050"/>
        </patternFill>
      </fill>
    </dxf>
    <dxf>
      <font>
        <b/>
        <i val="0"/>
        <color auto="1"/>
      </font>
      <fill>
        <patternFill>
          <bgColor rgb="FFFF5050"/>
        </patternFill>
      </fill>
    </dxf>
  </dxfs>
  <tableStyles count="0" defaultTableStyle="TableStyleMedium2" defaultPivotStyle="PivotStyleLight16"/>
  <colors>
    <mruColors>
      <color rgb="FFFFFFCC"/>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a:t>Technical</a:t>
            </a:r>
            <a:r>
              <a:rPr lang="en-US" sz="1800" baseline="0"/>
              <a:t> Recyclability </a:t>
            </a:r>
            <a:r>
              <a:rPr lang="en-US" sz="1800"/>
              <a:t>Score </a:t>
            </a:r>
            <a:br>
              <a:rPr lang="en-US" sz="1800"/>
            </a:br>
            <a:r>
              <a:rPr lang="en-US" sz="1800"/>
              <a:t>Part</a:t>
            </a:r>
            <a:r>
              <a:rPr lang="en-US" sz="1800" baseline="0"/>
              <a:t> I Scorecard </a:t>
            </a:r>
            <a:endParaRPr lang="en-US" sz="1800"/>
          </a:p>
        </c:rich>
      </c:tx>
      <c:layout>
        <c:manualLayout>
          <c:xMode val="edge"/>
          <c:yMode val="edge"/>
          <c:x val="0.34350369227682848"/>
          <c:y val="2.4051587583585686E-2"/>
        </c:manualLayout>
      </c:layout>
      <c:overlay val="0"/>
      <c:spPr>
        <a:ln>
          <a:noFill/>
        </a:ln>
      </c:spPr>
    </c:title>
    <c:autoTitleDeleted val="0"/>
    <c:plotArea>
      <c:layout>
        <c:manualLayout>
          <c:layoutTarget val="inner"/>
          <c:xMode val="edge"/>
          <c:yMode val="edge"/>
          <c:x val="0.1995333901359434"/>
          <c:y val="0.11800629903605807"/>
          <c:w val="0.73617302040416377"/>
          <c:h val="0.6286008980981791"/>
        </c:manualLayout>
      </c:layout>
      <c:barChart>
        <c:barDir val="col"/>
        <c:grouping val="clustered"/>
        <c:varyColors val="0"/>
        <c:ser>
          <c:idx val="0"/>
          <c:order val="0"/>
          <c:tx>
            <c:v>Technical Recyclabilty Score</c:v>
          </c:tx>
          <c:spPr>
            <a:solidFill>
              <a:schemeClr val="tx1"/>
            </a:solidFill>
          </c:spPr>
          <c:invertIfNegative val="0"/>
          <c:dPt>
            <c:idx val="0"/>
            <c:invertIfNegative val="0"/>
            <c:bubble3D val="0"/>
            <c:extLst>
              <c:ext xmlns:c16="http://schemas.microsoft.com/office/drawing/2014/chart" uri="{C3380CC4-5D6E-409C-BE32-E72D297353CC}">
                <c16:uniqueId val="{00000010-88D0-4100-A3E2-4904E7270CB7}"/>
              </c:ext>
            </c:extLst>
          </c:dPt>
          <c:cat>
            <c:strLit>
              <c:ptCount val="1"/>
              <c:pt idx="0">
                <c:v> </c:v>
              </c:pt>
            </c:strLit>
          </c:cat>
          <c:val>
            <c:numRef>
              <c:f>'Scorecard Part I'!$F$17</c:f>
              <c:numCache>
                <c:formatCode>0</c:formatCode>
                <c:ptCount val="1"/>
                <c:pt idx="0">
                  <c:v>93</c:v>
                </c:pt>
              </c:numCache>
            </c:numRef>
          </c:val>
          <c:extLst>
            <c:ext xmlns:c16="http://schemas.microsoft.com/office/drawing/2014/chart" uri="{C3380CC4-5D6E-409C-BE32-E72D297353CC}">
              <c16:uniqueId val="{0000000C-88D0-4100-A3E2-4904E7270CB7}"/>
            </c:ext>
          </c:extLst>
        </c:ser>
        <c:ser>
          <c:idx val="2"/>
          <c:order val="1"/>
          <c:tx>
            <c:v>Total Screening Yield Score</c:v>
          </c:tx>
          <c:spPr>
            <a:solidFill>
              <a:schemeClr val="accent6">
                <a:lumMod val="40000"/>
                <a:lumOff val="60000"/>
              </a:schemeClr>
            </a:solidFill>
          </c:spPr>
          <c:invertIfNegative val="0"/>
          <c:val>
            <c:numRef>
              <c:f>'Scorecard Part I'!$F$13</c:f>
              <c:numCache>
                <c:formatCode>0</c:formatCode>
                <c:ptCount val="1"/>
                <c:pt idx="0">
                  <c:v>97</c:v>
                </c:pt>
              </c:numCache>
            </c:numRef>
          </c:val>
          <c:extLst>
            <c:ext xmlns:c16="http://schemas.microsoft.com/office/drawing/2014/chart" uri="{C3380CC4-5D6E-409C-BE32-E72D297353CC}">
              <c16:uniqueId val="{0000000E-88D0-4100-A3E2-4904E7270CB7}"/>
            </c:ext>
          </c:extLst>
        </c:ser>
        <c:ser>
          <c:idx val="1"/>
          <c:order val="2"/>
          <c:tx>
            <c:v>DCS Score</c:v>
          </c:tx>
          <c:spPr>
            <a:solidFill>
              <a:schemeClr val="accent2">
                <a:lumMod val="60000"/>
                <a:lumOff val="40000"/>
              </a:schemeClr>
            </a:solidFill>
          </c:spPr>
          <c:invertIfNegative val="0"/>
          <c:val>
            <c:numRef>
              <c:f>'Scorecard Part I'!$F$14</c:f>
              <c:numCache>
                <c:formatCode>0</c:formatCode>
                <c:ptCount val="1"/>
                <c:pt idx="0">
                  <c:v>-4</c:v>
                </c:pt>
              </c:numCache>
            </c:numRef>
          </c:val>
          <c:extLst>
            <c:ext xmlns:c16="http://schemas.microsoft.com/office/drawing/2014/chart" uri="{C3380CC4-5D6E-409C-BE32-E72D297353CC}">
              <c16:uniqueId val="{0000000D-88D0-4100-A3E2-4904E7270CB7}"/>
            </c:ext>
          </c:extLst>
        </c:ser>
        <c:ser>
          <c:idx val="3"/>
          <c:order val="3"/>
          <c:tx>
            <c:v>Visual Impurities Score</c:v>
          </c:tx>
          <c:spPr>
            <a:solidFill>
              <a:schemeClr val="accent4">
                <a:lumMod val="40000"/>
                <a:lumOff val="60000"/>
              </a:schemeClr>
            </a:solidFill>
          </c:spPr>
          <c:invertIfNegative val="0"/>
          <c:val>
            <c:numRef>
              <c:f>'Scorecard Part I'!$F$16</c:f>
              <c:numCache>
                <c:formatCode>0</c:formatCode>
                <c:ptCount val="1"/>
                <c:pt idx="0">
                  <c:v>0</c:v>
                </c:pt>
              </c:numCache>
            </c:numRef>
          </c:val>
          <c:extLst>
            <c:ext xmlns:c16="http://schemas.microsoft.com/office/drawing/2014/chart" uri="{C3380CC4-5D6E-409C-BE32-E72D297353CC}">
              <c16:uniqueId val="{0000000F-88D0-4100-A3E2-4904E7270CB7}"/>
            </c:ext>
          </c:extLst>
        </c:ser>
        <c:dLbls>
          <c:showLegendKey val="0"/>
          <c:showVal val="0"/>
          <c:showCatName val="0"/>
          <c:showSerName val="0"/>
          <c:showPercent val="0"/>
          <c:showBubbleSize val="0"/>
        </c:dLbls>
        <c:gapWidth val="100"/>
        <c:overlap val="-20"/>
        <c:axId val="361892960"/>
        <c:axId val="359953344"/>
        <c:extLst/>
      </c:barChart>
      <c:catAx>
        <c:axId val="361892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59953344"/>
        <c:crossesAt val="0"/>
        <c:auto val="1"/>
        <c:lblAlgn val="ctr"/>
        <c:lblOffset val="100"/>
        <c:noMultiLvlLbl val="1"/>
      </c:catAx>
      <c:valAx>
        <c:axId val="359953344"/>
        <c:scaling>
          <c:orientation val="minMax"/>
          <c:max val="100"/>
          <c:min val="-100"/>
        </c:scaling>
        <c:delete val="0"/>
        <c:axPos val="l"/>
        <c:majorGridlines>
          <c:spPr>
            <a:ln w="3175">
              <a:solidFill>
                <a:srgbClr val="000000"/>
              </a:solidFill>
              <a:prstDash val="lgDash"/>
            </a:ln>
          </c:spPr>
        </c:majorGridlines>
        <c:title>
          <c:tx>
            <c:rich>
              <a:bodyPr/>
              <a:lstStyle/>
              <a:p>
                <a:pPr>
                  <a:defRPr sz="1800" b="1" i="0" u="none" strike="noStrike" baseline="0">
                    <a:solidFill>
                      <a:srgbClr val="000000"/>
                    </a:solidFill>
                    <a:latin typeface="Arial"/>
                    <a:ea typeface="Arial"/>
                    <a:cs typeface="Arial"/>
                  </a:defRPr>
                </a:pPr>
                <a:r>
                  <a:rPr lang="en-GB" sz="1800"/>
                  <a:t>Score</a:t>
                </a:r>
              </a:p>
            </c:rich>
          </c:tx>
          <c:layout>
            <c:manualLayout>
              <c:xMode val="edge"/>
              <c:yMode val="edge"/>
              <c:x val="6.2512289026215931E-2"/>
              <c:y val="0.3275514454296956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61892960"/>
        <c:crosses val="autoZero"/>
        <c:crossBetween val="between"/>
        <c:majorUnit val="10"/>
      </c:valAx>
      <c:spPr>
        <a:noFill/>
        <a:ln w="25400">
          <a:noFill/>
        </a:ln>
      </c:spPr>
    </c:plotArea>
    <c:legend>
      <c:legendPos val="b"/>
      <c:layout>
        <c:manualLayout>
          <c:xMode val="edge"/>
          <c:yMode val="edge"/>
          <c:x val="0.30867889148699745"/>
          <c:y val="0.74230777062182529"/>
          <c:w val="0.5876505225060944"/>
          <c:h val="0.22825545082702783"/>
        </c:manualLayout>
      </c:layout>
      <c:overlay val="0"/>
      <c:txPr>
        <a:bodyPr/>
        <a:lstStyle/>
        <a:p>
          <a:pPr>
            <a:defRPr sz="1600"/>
          </a:pPr>
          <a:endParaRPr lang="de-DE"/>
        </a:p>
      </c:txPr>
    </c:legend>
    <c:plotVisOnly val="0"/>
    <c:dispBlanksAs val="gap"/>
    <c:showDLblsOverMax val="0"/>
  </c:chart>
  <c:spPr>
    <a:solidFill>
      <a:srgbClr val="FFFFFF"/>
    </a:solidFill>
    <a:ln w="9525">
      <a:solidFill>
        <a:srgbClr val="000000"/>
      </a:solid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a:t>Technical</a:t>
            </a:r>
            <a:r>
              <a:rPr lang="en-US" sz="1800" baseline="0"/>
              <a:t> Recyclability </a:t>
            </a:r>
            <a:r>
              <a:rPr lang="en-US" sz="1800"/>
              <a:t>Score </a:t>
            </a:r>
            <a:br>
              <a:rPr lang="en-US" sz="1800"/>
            </a:br>
            <a:r>
              <a:rPr lang="en-US" sz="1800"/>
              <a:t>Part</a:t>
            </a:r>
            <a:r>
              <a:rPr lang="en-US" sz="1800" baseline="0"/>
              <a:t> II Scorecard - breakdown</a:t>
            </a:r>
            <a:endParaRPr lang="en-US" sz="1800"/>
          </a:p>
        </c:rich>
      </c:tx>
      <c:layout>
        <c:manualLayout>
          <c:xMode val="edge"/>
          <c:yMode val="edge"/>
          <c:x val="0.1969294545083401"/>
          <c:y val="3.7751853930170033E-2"/>
        </c:manualLayout>
      </c:layout>
      <c:overlay val="0"/>
      <c:spPr>
        <a:ln>
          <a:noFill/>
        </a:ln>
      </c:spPr>
    </c:title>
    <c:autoTitleDeleted val="0"/>
    <c:plotArea>
      <c:layout>
        <c:manualLayout>
          <c:layoutTarget val="inner"/>
          <c:xMode val="edge"/>
          <c:yMode val="edge"/>
          <c:x val="0.13154223087632722"/>
          <c:y val="0.11800629903605807"/>
          <c:w val="0.51571680743343917"/>
          <c:h val="0.77759169794697003"/>
        </c:manualLayout>
      </c:layout>
      <c:barChart>
        <c:barDir val="col"/>
        <c:grouping val="stacked"/>
        <c:varyColors val="0"/>
        <c:ser>
          <c:idx val="3"/>
          <c:order val="0"/>
          <c:tx>
            <c:strRef>
              <c:f>'Scorecard Part II '!$B$12</c:f>
              <c:strCache>
                <c:ptCount val="1"/>
                <c:pt idx="0">
                  <c:v>Total screening yield</c:v>
                </c:pt>
              </c:strCache>
            </c:strRef>
          </c:tx>
          <c:spPr>
            <a:solidFill>
              <a:schemeClr val="accent6">
                <a:lumMod val="20000"/>
                <a:lumOff val="80000"/>
              </a:schemeClr>
            </a:solidFill>
          </c:spPr>
          <c:invertIfNegative val="0"/>
          <c:dPt>
            <c:idx val="0"/>
            <c:invertIfNegative val="0"/>
            <c:bubble3D val="0"/>
            <c:spPr>
              <a:solidFill>
                <a:srgbClr val="002060"/>
              </a:solidFill>
            </c:spPr>
            <c:extLst>
              <c:ext xmlns:c16="http://schemas.microsoft.com/office/drawing/2014/chart" uri="{C3380CC4-5D6E-409C-BE32-E72D297353CC}">
                <c16:uniqueId val="{00000000-4BA7-48E1-80A1-A78A21210897}"/>
              </c:ext>
            </c:extLst>
          </c:dPt>
          <c:cat>
            <c:strLit>
              <c:ptCount val="1"/>
              <c:pt idx="0">
                <c:v> </c:v>
              </c:pt>
            </c:strLit>
          </c:cat>
          <c:val>
            <c:numRef>
              <c:f>'Scorecard Part II '!$V$12</c:f>
              <c:numCache>
                <c:formatCode>General</c:formatCode>
                <c:ptCount val="1"/>
                <c:pt idx="0">
                  <c:v>20</c:v>
                </c:pt>
              </c:numCache>
            </c:numRef>
          </c:val>
          <c:extLst>
            <c:ext xmlns:c16="http://schemas.microsoft.com/office/drawing/2014/chart" uri="{C3380CC4-5D6E-409C-BE32-E72D297353CC}">
              <c16:uniqueId val="{00000000-CCD8-4802-99E1-096FF6418241}"/>
            </c:ext>
          </c:extLst>
        </c:ser>
        <c:ser>
          <c:idx val="4"/>
          <c:order val="1"/>
          <c:tx>
            <c:strRef>
              <c:f>'Scorecard Part II '!$N$13</c:f>
              <c:strCache>
                <c:ptCount val="1"/>
                <c:pt idx="0">
                  <c:v>COD value</c:v>
                </c:pt>
              </c:strCache>
            </c:strRef>
          </c:tx>
          <c:invertIfNegative val="0"/>
          <c:cat>
            <c:strLit>
              <c:ptCount val="1"/>
              <c:pt idx="0">
                <c:v> </c:v>
              </c:pt>
            </c:strLit>
          </c:cat>
          <c:val>
            <c:numRef>
              <c:f>'Scorecard Part II '!$V$13</c:f>
              <c:numCache>
                <c:formatCode>General</c:formatCode>
                <c:ptCount val="1"/>
                <c:pt idx="0">
                  <c:v>1.5</c:v>
                </c:pt>
              </c:numCache>
            </c:numRef>
          </c:val>
          <c:extLst>
            <c:ext xmlns:c16="http://schemas.microsoft.com/office/drawing/2014/chart" uri="{C3380CC4-5D6E-409C-BE32-E72D297353CC}">
              <c16:uniqueId val="{00000001-CCD8-4802-99E1-096FF6418241}"/>
            </c:ext>
          </c:extLst>
        </c:ser>
        <c:ser>
          <c:idx val="5"/>
          <c:order val="2"/>
          <c:tx>
            <c:strRef>
              <c:f>'Scorecard Part II '!$N$14</c:f>
              <c:strCache>
                <c:ptCount val="1"/>
                <c:pt idx="0">
                  <c:v>Dissolved and Colloidal Substances (DCS)</c:v>
                </c:pt>
              </c:strCache>
            </c:strRef>
          </c:tx>
          <c:invertIfNegative val="0"/>
          <c:cat>
            <c:strLit>
              <c:ptCount val="1"/>
              <c:pt idx="0">
                <c:v> </c:v>
              </c:pt>
            </c:strLit>
          </c:cat>
          <c:val>
            <c:numRef>
              <c:f>'Scorecard Part II '!$V$14</c:f>
              <c:numCache>
                <c:formatCode>General</c:formatCode>
                <c:ptCount val="1"/>
                <c:pt idx="0">
                  <c:v>5</c:v>
                </c:pt>
              </c:numCache>
            </c:numRef>
          </c:val>
          <c:extLst>
            <c:ext xmlns:c16="http://schemas.microsoft.com/office/drawing/2014/chart" uri="{C3380CC4-5D6E-409C-BE32-E72D297353CC}">
              <c16:uniqueId val="{00000002-CCD8-4802-99E1-096FF6418241}"/>
            </c:ext>
          </c:extLst>
        </c:ser>
        <c:ser>
          <c:idx val="6"/>
          <c:order val="3"/>
          <c:tx>
            <c:strRef>
              <c:f>'Scorecard Part II '!$B$15</c:f>
              <c:strCache>
                <c:ptCount val="1"/>
                <c:pt idx="0">
                  <c:v>Sheet adhesion</c:v>
                </c:pt>
              </c:strCache>
            </c:strRef>
          </c:tx>
          <c:invertIfNegative val="0"/>
          <c:cat>
            <c:strLit>
              <c:ptCount val="1"/>
              <c:pt idx="0">
                <c:v> </c:v>
              </c:pt>
            </c:strLit>
          </c:cat>
          <c:val>
            <c:numRef>
              <c:f>'Scorecard Part II '!$V$15</c:f>
              <c:numCache>
                <c:formatCode>General</c:formatCode>
                <c:ptCount val="1"/>
                <c:pt idx="0">
                  <c:v>15</c:v>
                </c:pt>
              </c:numCache>
            </c:numRef>
          </c:val>
          <c:extLst>
            <c:ext xmlns:c16="http://schemas.microsoft.com/office/drawing/2014/chart" uri="{C3380CC4-5D6E-409C-BE32-E72D297353CC}">
              <c16:uniqueId val="{00000003-CCD8-4802-99E1-096FF6418241}"/>
            </c:ext>
          </c:extLst>
        </c:ser>
        <c:ser>
          <c:idx val="8"/>
          <c:order val="5"/>
          <c:tx>
            <c:strRef>
              <c:f>'Scorecard Part II '!$N$18</c:f>
              <c:strCache>
                <c:ptCount val="1"/>
                <c:pt idx="0">
                  <c:v>DP luminosity</c:v>
                </c:pt>
              </c:strCache>
            </c:strRef>
          </c:tx>
          <c:spPr>
            <a:solidFill>
              <a:schemeClr val="accent2">
                <a:lumMod val="75000"/>
              </a:schemeClr>
            </a:solidFill>
          </c:spPr>
          <c:invertIfNegative val="0"/>
          <c:cat>
            <c:strLit>
              <c:ptCount val="1"/>
              <c:pt idx="0">
                <c:v> </c:v>
              </c:pt>
            </c:strLit>
          </c:cat>
          <c:val>
            <c:numRef>
              <c:f>'Scorecard Part II '!$V$18</c:f>
              <c:numCache>
                <c:formatCode>General</c:formatCode>
                <c:ptCount val="1"/>
                <c:pt idx="0">
                  <c:v>17.5</c:v>
                </c:pt>
              </c:numCache>
            </c:numRef>
          </c:val>
          <c:extLst>
            <c:ext xmlns:c16="http://schemas.microsoft.com/office/drawing/2014/chart" uri="{C3380CC4-5D6E-409C-BE32-E72D297353CC}">
              <c16:uniqueId val="{00000004-CCD8-4802-99E1-096FF6418241}"/>
            </c:ext>
          </c:extLst>
        </c:ser>
        <c:ser>
          <c:idx val="9"/>
          <c:order val="6"/>
          <c:tx>
            <c:strRef>
              <c:f>'Scorecard Part II '!$B$19</c:f>
              <c:strCache>
                <c:ptCount val="1"/>
                <c:pt idx="0">
                  <c:v>colour shade (a*)</c:v>
                </c:pt>
              </c:strCache>
            </c:strRef>
          </c:tx>
          <c:invertIfNegative val="0"/>
          <c:cat>
            <c:strLit>
              <c:ptCount val="1"/>
              <c:pt idx="0">
                <c:v> </c:v>
              </c:pt>
            </c:strLit>
          </c:cat>
          <c:val>
            <c:numRef>
              <c:f>'Scorecard Part II '!$V$19</c:f>
              <c:numCache>
                <c:formatCode>General</c:formatCode>
                <c:ptCount val="1"/>
                <c:pt idx="0">
                  <c:v>10</c:v>
                </c:pt>
              </c:numCache>
            </c:numRef>
          </c:val>
          <c:extLst>
            <c:ext xmlns:c16="http://schemas.microsoft.com/office/drawing/2014/chart" uri="{C3380CC4-5D6E-409C-BE32-E72D297353CC}">
              <c16:uniqueId val="{00000005-CCD8-4802-99E1-096FF6418241}"/>
            </c:ext>
          </c:extLst>
        </c:ser>
        <c:ser>
          <c:idx val="10"/>
          <c:order val="7"/>
          <c:tx>
            <c:strRef>
              <c:f>'Scorecard Part II '!$B$20</c:f>
              <c:strCache>
                <c:ptCount val="1"/>
                <c:pt idx="0">
                  <c:v>Dirt specks area (A50)</c:v>
                </c:pt>
              </c:strCache>
            </c:strRef>
          </c:tx>
          <c:spPr>
            <a:solidFill>
              <a:srgbClr val="FFC000"/>
            </a:solidFill>
          </c:spPr>
          <c:invertIfNegative val="0"/>
          <c:cat>
            <c:strLit>
              <c:ptCount val="1"/>
              <c:pt idx="0">
                <c:v> </c:v>
              </c:pt>
            </c:strLit>
          </c:cat>
          <c:val>
            <c:numRef>
              <c:f>'Scorecard Part II '!$V$20</c:f>
              <c:numCache>
                <c:formatCode>General</c:formatCode>
                <c:ptCount val="1"/>
                <c:pt idx="0">
                  <c:v>4.5</c:v>
                </c:pt>
              </c:numCache>
            </c:numRef>
          </c:val>
          <c:extLst>
            <c:ext xmlns:c16="http://schemas.microsoft.com/office/drawing/2014/chart" uri="{C3380CC4-5D6E-409C-BE32-E72D297353CC}">
              <c16:uniqueId val="{00000006-CCD8-4802-99E1-096FF6418241}"/>
            </c:ext>
          </c:extLst>
        </c:ser>
        <c:ser>
          <c:idx val="11"/>
          <c:order val="8"/>
          <c:tx>
            <c:strRef>
              <c:f>'Scorecard Part II '!$B$21</c:f>
              <c:strCache>
                <c:ptCount val="1"/>
                <c:pt idx="0">
                  <c:v>Dirt specks area (A250)</c:v>
                </c:pt>
              </c:strCache>
            </c:strRef>
          </c:tx>
          <c:invertIfNegative val="0"/>
          <c:cat>
            <c:strLit>
              <c:ptCount val="1"/>
              <c:pt idx="0">
                <c:v> </c:v>
              </c:pt>
            </c:strLit>
          </c:cat>
          <c:val>
            <c:numRef>
              <c:f>'Scorecard Part II '!$V$21</c:f>
              <c:numCache>
                <c:formatCode>General</c:formatCode>
                <c:ptCount val="1"/>
                <c:pt idx="0">
                  <c:v>5</c:v>
                </c:pt>
              </c:numCache>
            </c:numRef>
          </c:val>
          <c:extLst>
            <c:ext xmlns:c16="http://schemas.microsoft.com/office/drawing/2014/chart" uri="{C3380CC4-5D6E-409C-BE32-E72D297353CC}">
              <c16:uniqueId val="{00000007-CCD8-4802-99E1-096FF6418241}"/>
            </c:ext>
          </c:extLst>
        </c:ser>
        <c:ser>
          <c:idx val="13"/>
          <c:order val="10"/>
          <c:tx>
            <c:strRef>
              <c:f>'Scorecard Part II '!$B$23</c:f>
              <c:strCache>
                <c:ptCount val="1"/>
                <c:pt idx="0">
                  <c:v>Luminosity gain (YG)</c:v>
                </c:pt>
              </c:strCache>
            </c:strRef>
          </c:tx>
          <c:invertIfNegative val="0"/>
          <c:cat>
            <c:strLit>
              <c:ptCount val="1"/>
              <c:pt idx="0">
                <c:v> </c:v>
              </c:pt>
            </c:strLit>
          </c:cat>
          <c:val>
            <c:numRef>
              <c:f>'Scorecard Part II '!$V$23</c:f>
              <c:numCache>
                <c:formatCode>General</c:formatCode>
                <c:ptCount val="1"/>
                <c:pt idx="0">
                  <c:v>5</c:v>
                </c:pt>
              </c:numCache>
            </c:numRef>
          </c:val>
          <c:extLst xmlns:c15="http://schemas.microsoft.com/office/drawing/2012/chart">
            <c:ext xmlns:c16="http://schemas.microsoft.com/office/drawing/2014/chart" uri="{C3380CC4-5D6E-409C-BE32-E72D297353CC}">
              <c16:uniqueId val="{00000008-CCD8-4802-99E1-096FF6418241}"/>
            </c:ext>
          </c:extLst>
        </c:ser>
        <c:ser>
          <c:idx val="14"/>
          <c:order val="11"/>
          <c:tx>
            <c:strRef>
              <c:f>'Scorecard Part II '!$B$24</c:f>
              <c:strCache>
                <c:ptCount val="1"/>
                <c:pt idx="0">
                  <c:v>Filtrate darkening</c:v>
                </c:pt>
              </c:strCache>
            </c:strRef>
          </c:tx>
          <c:invertIfNegative val="0"/>
          <c:cat>
            <c:strLit>
              <c:ptCount val="1"/>
              <c:pt idx="0">
                <c:v> </c:v>
              </c:pt>
            </c:strLit>
          </c:cat>
          <c:val>
            <c:numRef>
              <c:f>'Scorecard Part II '!$V$24</c:f>
              <c:numCache>
                <c:formatCode>General</c:formatCode>
                <c:ptCount val="1"/>
                <c:pt idx="0">
                  <c:v>5</c:v>
                </c:pt>
              </c:numCache>
            </c:numRef>
          </c:val>
          <c:extLst>
            <c:ext xmlns:c16="http://schemas.microsoft.com/office/drawing/2014/chart" uri="{C3380CC4-5D6E-409C-BE32-E72D297353CC}">
              <c16:uniqueId val="{00000009-CCD8-4802-99E1-096FF6418241}"/>
            </c:ext>
          </c:extLst>
        </c:ser>
        <c:dLbls>
          <c:showLegendKey val="0"/>
          <c:showVal val="0"/>
          <c:showCatName val="0"/>
          <c:showSerName val="0"/>
          <c:showPercent val="0"/>
          <c:showBubbleSize val="0"/>
        </c:dLbls>
        <c:gapWidth val="150"/>
        <c:overlap val="100"/>
        <c:axId val="361892960"/>
        <c:axId val="359953344"/>
        <c:extLst>
          <c:ext xmlns:c15="http://schemas.microsoft.com/office/drawing/2012/chart" uri="{02D57815-91ED-43cb-92C2-25804820EDAC}">
            <c15:filteredBarSeries>
              <c15:ser>
                <c:idx val="7"/>
                <c:order val="4"/>
                <c:tx>
                  <c:v>MSA</c:v>
                </c:tx>
                <c:invertIfNegative val="0"/>
                <c:cat>
                  <c:strLit>
                    <c:ptCount val="1"/>
                    <c:pt idx="0">
                      <c:v> </c:v>
                    </c:pt>
                  </c:strLit>
                </c:cat>
                <c:val>
                  <c:numLit>
                    <c:formatCode>General</c:formatCode>
                    <c:ptCount val="1"/>
                    <c:pt idx="0">
                      <c:v>0</c:v>
                    </c:pt>
                  </c:numLit>
                </c:val>
                <c:extLst>
                  <c:ext xmlns:c16="http://schemas.microsoft.com/office/drawing/2014/chart" uri="{C3380CC4-5D6E-409C-BE32-E72D297353CC}">
                    <c16:uniqueId val="{0000000A-CCD8-4802-99E1-096FF6418241}"/>
                  </c:ext>
                </c:extLst>
              </c15:ser>
            </c15:filteredBarSeries>
            <c15:filteredBarSeries>
              <c15:ser>
                <c:idx val="12"/>
                <c:order val="9"/>
                <c:tx>
                  <c:v>Ink Elimination</c:v>
                </c:tx>
                <c:invertIfNegative val="0"/>
                <c:cat>
                  <c:strLit>
                    <c:ptCount val="1"/>
                    <c:pt idx="0">
                      <c:v> </c:v>
                    </c:pt>
                  </c:strLit>
                </c:cat>
                <c:val>
                  <c:numLit>
                    <c:formatCode>General</c:formatCode>
                    <c:ptCount val="1"/>
                    <c:pt idx="0">
                      <c:v>0</c:v>
                    </c:pt>
                  </c:numLit>
                </c:val>
                <c:extLst xmlns:c15="http://schemas.microsoft.com/office/drawing/2012/chart">
                  <c:ext xmlns:c16="http://schemas.microsoft.com/office/drawing/2014/chart" uri="{C3380CC4-5D6E-409C-BE32-E72D297353CC}">
                    <c16:uniqueId val="{0000000B-CCD8-4802-99E1-096FF6418241}"/>
                  </c:ext>
                </c:extLst>
              </c15:ser>
            </c15:filteredBarSeries>
          </c:ext>
        </c:extLst>
      </c:barChart>
      <c:catAx>
        <c:axId val="361892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59953344"/>
        <c:crossesAt val="0"/>
        <c:auto val="1"/>
        <c:lblAlgn val="ctr"/>
        <c:lblOffset val="100"/>
        <c:noMultiLvlLbl val="1"/>
      </c:catAx>
      <c:valAx>
        <c:axId val="359953344"/>
        <c:scaling>
          <c:orientation val="minMax"/>
          <c:max val="100"/>
          <c:min val="-100"/>
        </c:scaling>
        <c:delete val="0"/>
        <c:axPos val="l"/>
        <c:majorGridlines>
          <c:spPr>
            <a:ln w="3175">
              <a:solidFill>
                <a:srgbClr val="000000"/>
              </a:solidFill>
              <a:prstDash val="lgDash"/>
            </a:ln>
          </c:spPr>
        </c:majorGridlines>
        <c:title>
          <c:tx>
            <c:rich>
              <a:bodyPr/>
              <a:lstStyle/>
              <a:p>
                <a:pPr>
                  <a:defRPr sz="1800" b="1" i="0" u="none" strike="noStrike" baseline="0">
                    <a:solidFill>
                      <a:srgbClr val="000000"/>
                    </a:solidFill>
                    <a:latin typeface="Arial"/>
                    <a:ea typeface="Arial"/>
                    <a:cs typeface="Arial"/>
                  </a:defRPr>
                </a:pPr>
                <a:r>
                  <a:rPr lang="en-GB" sz="1800"/>
                  <a:t>Technical Recyclability Score</a:t>
                </a:r>
              </a:p>
            </c:rich>
          </c:tx>
          <c:layout>
            <c:manualLayout>
              <c:xMode val="edge"/>
              <c:yMode val="edge"/>
              <c:x val="3.1607260588006954E-2"/>
              <c:y val="0.330619785332175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61892960"/>
        <c:crosses val="autoZero"/>
        <c:crossBetween val="between"/>
        <c:majorUnit val="10"/>
      </c:valAx>
      <c:spPr>
        <a:noFill/>
        <a:ln w="25400">
          <a:noFill/>
        </a:ln>
      </c:spPr>
    </c:plotArea>
    <c:legend>
      <c:legendPos val="r"/>
      <c:layout>
        <c:manualLayout>
          <c:xMode val="edge"/>
          <c:yMode val="edge"/>
          <c:x val="0.70976788732052032"/>
          <c:y val="2.4374118698076225E-2"/>
          <c:w val="0.25662339951865093"/>
          <c:h val="0.95785074510179702"/>
        </c:manualLayout>
      </c:layout>
      <c:overlay val="0"/>
      <c:spPr>
        <a:solidFill>
          <a:srgbClr val="FFFFFF">
            <a:alpha val="65000"/>
          </a:srgbClr>
        </a:solidFill>
        <a:ln w="3175">
          <a:solidFill>
            <a:srgbClr val="000000"/>
          </a:solidFill>
          <a:prstDash val="solid"/>
        </a:ln>
      </c:spPr>
      <c:txPr>
        <a:bodyPr/>
        <a:lstStyle/>
        <a:p>
          <a:pPr>
            <a:defRPr sz="1600" b="0" i="0" u="none" strike="noStrike" baseline="0">
              <a:solidFill>
                <a:srgbClr val="000000"/>
              </a:solidFill>
              <a:latin typeface="Arial"/>
              <a:ea typeface="Arial"/>
              <a:cs typeface="Arial"/>
            </a:defRPr>
          </a:pPr>
          <a:endParaRPr lang="de-DE"/>
        </a:p>
      </c:txPr>
    </c:legend>
    <c:plotVisOnly val="0"/>
    <c:dispBlanksAs val="gap"/>
    <c:showDLblsOverMax val="0"/>
  </c:chart>
  <c:spPr>
    <a:solidFill>
      <a:srgbClr val="FFFFFF"/>
    </a:solidFill>
    <a:ln w="9525">
      <a:solidFill>
        <a:srgbClr val="000000"/>
      </a:solid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800"/>
            </a:pPr>
            <a:r>
              <a:rPr lang="en-US" sz="1800"/>
              <a:t>Technical Recyclability</a:t>
            </a:r>
            <a:r>
              <a:rPr lang="en-US" sz="1800" baseline="0"/>
              <a:t> </a:t>
            </a:r>
            <a:r>
              <a:rPr lang="en-US" sz="1800"/>
              <a:t>Score Part</a:t>
            </a:r>
            <a:r>
              <a:rPr lang="en-US" sz="1800" baseline="0"/>
              <a:t> III Scorecard - breakdown </a:t>
            </a:r>
            <a:br>
              <a:rPr lang="en-US" sz="1800" baseline="0"/>
            </a:br>
            <a:r>
              <a:rPr lang="en-US" sz="1800" baseline="0"/>
              <a:t>(WITH polyAl)</a:t>
            </a:r>
            <a:endParaRPr lang="en-US" sz="1800"/>
          </a:p>
        </c:rich>
      </c:tx>
      <c:layout>
        <c:manualLayout>
          <c:xMode val="edge"/>
          <c:yMode val="edge"/>
          <c:x val="0.1969294545083401"/>
          <c:y val="3.7751853930170033E-2"/>
        </c:manualLayout>
      </c:layout>
      <c:overlay val="0"/>
    </c:title>
    <c:autoTitleDeleted val="0"/>
    <c:plotArea>
      <c:layout>
        <c:manualLayout>
          <c:layoutTarget val="inner"/>
          <c:xMode val="edge"/>
          <c:yMode val="edge"/>
          <c:x val="0.17558896511642866"/>
          <c:y val="0.18061258532147767"/>
          <c:w val="0.43226315712232871"/>
          <c:h val="0.71958793662933374"/>
        </c:manualLayout>
      </c:layout>
      <c:barChart>
        <c:barDir val="col"/>
        <c:grouping val="clustered"/>
        <c:varyColors val="0"/>
        <c:ser>
          <c:idx val="0"/>
          <c:order val="0"/>
          <c:tx>
            <c:strRef>
              <c:f>'Scorecard Part III'!$I$28</c:f>
              <c:strCache>
                <c:ptCount val="1"/>
                <c:pt idx="0">
                  <c:v>Technical Recyclability Score</c:v>
                </c:pt>
              </c:strCache>
            </c:strRef>
          </c:tx>
          <c:spPr>
            <a:solidFill>
              <a:sysClr val="windowText" lastClr="000000"/>
            </a:solidFill>
          </c:spPr>
          <c:invertIfNegative val="0"/>
          <c:cat>
            <c:strLit>
              <c:ptCount val="1"/>
              <c:pt idx="0">
                <c:v>  </c:v>
              </c:pt>
            </c:strLit>
          </c:cat>
          <c:val>
            <c:numRef>
              <c:f>'Scorecard Part III'!$H$28</c:f>
              <c:numCache>
                <c:formatCode>0</c:formatCode>
                <c:ptCount val="1"/>
                <c:pt idx="0">
                  <c:v>92.5</c:v>
                </c:pt>
              </c:numCache>
            </c:numRef>
          </c:val>
          <c:extLst>
            <c:ext xmlns:c16="http://schemas.microsoft.com/office/drawing/2014/chart" uri="{C3380CC4-5D6E-409C-BE32-E72D297353CC}">
              <c16:uniqueId val="{00000017-B6BB-4459-9504-D271F91A6D86}"/>
            </c:ext>
          </c:extLst>
        </c:ser>
        <c:ser>
          <c:idx val="3"/>
          <c:order val="1"/>
          <c:tx>
            <c:strRef>
              <c:f>'Scorecard Part III'!$B$16</c:f>
              <c:strCache>
                <c:ptCount val="1"/>
                <c:pt idx="0">
                  <c:v>Total screening yield</c:v>
                </c:pt>
              </c:strCache>
            </c:strRef>
          </c:tx>
          <c:spPr>
            <a:solidFill>
              <a:srgbClr val="4EA72E">
                <a:lumMod val="20000"/>
                <a:lumOff val="80000"/>
              </a:srgbClr>
            </a:solidFill>
          </c:spPr>
          <c:invertIfNegative val="0"/>
          <c:cat>
            <c:strLit>
              <c:ptCount val="1"/>
              <c:pt idx="0">
                <c:v>  </c:v>
              </c:pt>
            </c:strLit>
          </c:cat>
          <c:val>
            <c:numRef>
              <c:f>'Scorecard Part III'!$S$16</c:f>
              <c:numCache>
                <c:formatCode>0</c:formatCode>
                <c:ptCount val="1"/>
                <c:pt idx="0">
                  <c:v>75.5</c:v>
                </c:pt>
              </c:numCache>
            </c:numRef>
          </c:val>
          <c:extLst>
            <c:ext xmlns:c16="http://schemas.microsoft.com/office/drawing/2014/chart" uri="{C3380CC4-5D6E-409C-BE32-E72D297353CC}">
              <c16:uniqueId val="{00000000-224B-4024-8654-21699C53DB17}"/>
            </c:ext>
          </c:extLst>
        </c:ser>
        <c:ser>
          <c:idx val="4"/>
          <c:order val="2"/>
          <c:tx>
            <c:strRef>
              <c:f>'Scorecard Part III'!$B$17</c:f>
              <c:strCache>
                <c:ptCount val="1"/>
                <c:pt idx="0">
                  <c:v>Coarse reject</c:v>
                </c:pt>
              </c:strCache>
            </c:strRef>
          </c:tx>
          <c:spPr>
            <a:solidFill>
              <a:sysClr val="window" lastClr="FFFFFF">
                <a:lumMod val="75000"/>
              </a:sysClr>
            </a:solidFill>
          </c:spPr>
          <c:invertIfNegative val="0"/>
          <c:cat>
            <c:strLit>
              <c:ptCount val="1"/>
              <c:pt idx="0">
                <c:v>  </c:v>
              </c:pt>
            </c:strLit>
          </c:cat>
          <c:val>
            <c:numRef>
              <c:f>'Scorecard Part III'!$S$17</c:f>
              <c:numCache>
                <c:formatCode>0</c:formatCode>
                <c:ptCount val="1"/>
                <c:pt idx="0">
                  <c:v>20</c:v>
                </c:pt>
              </c:numCache>
            </c:numRef>
          </c:val>
          <c:extLst>
            <c:ext xmlns:c16="http://schemas.microsoft.com/office/drawing/2014/chart" uri="{C3380CC4-5D6E-409C-BE32-E72D297353CC}">
              <c16:uniqueId val="{00000001-224B-4024-8654-21699C53DB17}"/>
            </c:ext>
          </c:extLst>
        </c:ser>
        <c:ser>
          <c:idx val="5"/>
          <c:order val="3"/>
          <c:tx>
            <c:strRef>
              <c:f>'Scorecard Part III'!$B$18</c:f>
              <c:strCache>
                <c:ptCount val="1"/>
                <c:pt idx="0">
                  <c:v>Coarse reject quality
(Fibre content related)</c:v>
                </c:pt>
              </c:strCache>
            </c:strRef>
          </c:tx>
          <c:invertIfNegative val="0"/>
          <c:cat>
            <c:strLit>
              <c:ptCount val="1"/>
              <c:pt idx="0">
                <c:v>  </c:v>
              </c:pt>
            </c:strLit>
          </c:cat>
          <c:val>
            <c:numRef>
              <c:f>'Scorecard Part III'!$S$18</c:f>
              <c:numCache>
                <c:formatCode>0</c:formatCode>
                <c:ptCount val="1"/>
                <c:pt idx="0">
                  <c:v>-3</c:v>
                </c:pt>
              </c:numCache>
            </c:numRef>
          </c:val>
          <c:extLst>
            <c:ext xmlns:c16="http://schemas.microsoft.com/office/drawing/2014/chart" uri="{C3380CC4-5D6E-409C-BE32-E72D297353CC}">
              <c16:uniqueId val="{00000002-224B-4024-8654-21699C53DB17}"/>
            </c:ext>
          </c:extLst>
        </c:ser>
        <c:dLbls>
          <c:showLegendKey val="0"/>
          <c:showVal val="0"/>
          <c:showCatName val="0"/>
          <c:showSerName val="0"/>
          <c:showPercent val="0"/>
          <c:showBubbleSize val="0"/>
        </c:dLbls>
        <c:gapWidth val="150"/>
        <c:overlap val="-30"/>
        <c:axId val="361892960"/>
        <c:axId val="359953344"/>
        <c:extLst>
          <c:ext xmlns:c15="http://schemas.microsoft.com/office/drawing/2012/chart" uri="{02D57815-91ED-43cb-92C2-25804820EDAC}">
            <c15:filteredBarSeries>
              <c15:ser>
                <c:idx val="6"/>
                <c:order val="4"/>
                <c:tx>
                  <c:strRef>
                    <c:extLst>
                      <c:ext uri="{02D57815-91ED-43cb-92C2-25804820EDAC}">
                        <c15:formulaRef>
                          <c15:sqref>'Scorecard Part III'!$B$19</c15:sqref>
                        </c15:formulaRef>
                      </c:ext>
                    </c:extLst>
                    <c:strCache>
                      <c:ptCount val="1"/>
                      <c:pt idx="0">
                        <c:v>Visual impurities</c:v>
                      </c:pt>
                    </c:strCache>
                  </c:strRef>
                </c:tx>
                <c:invertIfNegative val="0"/>
                <c:cat>
                  <c:strLit>
                    <c:ptCount val="1"/>
                    <c:pt idx="0">
                      <c:v>  </c:v>
                    </c:pt>
                  </c:strLit>
                </c:cat>
                <c:val>
                  <c:numRef>
                    <c:extLst>
                      <c:ext uri="{02D57815-91ED-43cb-92C2-25804820EDAC}">
                        <c15:formulaRef>
                          <c15:sqref>'Scorecard Part III'!$S$19</c15:sqref>
                        </c15:formulaRef>
                      </c:ext>
                    </c:extLst>
                    <c:numCache>
                      <c:formatCode>0</c:formatCode>
                      <c:ptCount val="1"/>
                      <c:pt idx="0">
                        <c:v>0</c:v>
                      </c:pt>
                    </c:numCache>
                  </c:numRef>
                </c:val>
                <c:extLst>
                  <c:ext xmlns:c16="http://schemas.microsoft.com/office/drawing/2014/chart" uri="{C3380CC4-5D6E-409C-BE32-E72D297353CC}">
                    <c16:uniqueId val="{00000003-224B-4024-8654-21699C53DB17}"/>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'Scorecard Part III'!$B$20</c15:sqref>
                        </c15:formulaRef>
                      </c:ext>
                    </c:extLst>
                    <c:strCache>
                      <c:ptCount val="1"/>
                      <c:pt idx="0">
                        <c:v>Sheet adhesion </c:v>
                      </c:pt>
                    </c:strCache>
                  </c:strRef>
                </c:tx>
                <c:invertIfNegative val="0"/>
                <c:cat>
                  <c:strLit>
                    <c:ptCount val="1"/>
                    <c:pt idx="0">
                      <c:v>  </c:v>
                    </c:pt>
                  </c:strLit>
                </c:cat>
                <c:val>
                  <c:numRef>
                    <c:extLst xmlns:c15="http://schemas.microsoft.com/office/drawing/2012/chart">
                      <c:ext xmlns:c15="http://schemas.microsoft.com/office/drawing/2012/chart" uri="{02D57815-91ED-43cb-92C2-25804820EDAC}">
                        <c15:formulaRef>
                          <c15:sqref>'Scorecard Part III'!$S$20</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4-224B-4024-8654-21699C53DB17}"/>
                  </c:ext>
                </c:extLst>
              </c15:ser>
            </c15:filteredBarSeries>
            <c15:filteredBarSeries>
              <c15:ser>
                <c:idx val="9"/>
                <c:order val="6"/>
                <c:tx>
                  <c:strRef>
                    <c:extLst xmlns:c15="http://schemas.microsoft.com/office/drawing/2012/chart">
                      <c:ext xmlns:c15="http://schemas.microsoft.com/office/drawing/2012/chart" uri="{02D57815-91ED-43cb-92C2-25804820EDAC}">
                        <c15:formulaRef>
                          <c15:sqref>'Scorecard Part III'!$B$21</c15:sqref>
                        </c15:formulaRef>
                      </c:ext>
                    </c:extLst>
                    <c:strCache>
                      <c:ptCount val="1"/>
                      <c:pt idx="0">
                        <c:v>Ash content</c:v>
                      </c:pt>
                    </c:strCache>
                  </c:strRef>
                </c:tx>
                <c:invertIfNegative val="0"/>
                <c:cat>
                  <c:strLit>
                    <c:ptCount val="1"/>
                    <c:pt idx="0">
                      <c:v>  </c:v>
                    </c:pt>
                  </c:strLit>
                </c:cat>
                <c:val>
                  <c:numRef>
                    <c:extLst xmlns:c15="http://schemas.microsoft.com/office/drawing/2012/chart">
                      <c:ext xmlns:c15="http://schemas.microsoft.com/office/drawing/2012/chart" uri="{02D57815-91ED-43cb-92C2-25804820EDAC}">
                        <c15:formulaRef>
                          <c15:sqref>'Scorecard Part III'!$S$21</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5-224B-4024-8654-21699C53DB17}"/>
                  </c:ext>
                </c:extLst>
              </c15:ser>
            </c15:filteredBarSeries>
            <c15:filteredBarSeries>
              <c15:ser>
                <c:idx val="10"/>
                <c:order val="7"/>
                <c:tx>
                  <c:strRef>
                    <c:extLst xmlns:c15="http://schemas.microsoft.com/office/drawing/2012/chart">
                      <c:ext xmlns:c15="http://schemas.microsoft.com/office/drawing/2012/chart" uri="{02D57815-91ED-43cb-92C2-25804820EDAC}">
                        <c15:formulaRef>
                          <c15:sqref>'Scorecard Part III'!$B$22</c15:sqref>
                        </c15:formulaRef>
                      </c:ext>
                    </c:extLst>
                    <c:strCache>
                      <c:ptCount val="1"/>
                      <c:pt idx="0">
                        <c:v>Tensile index </c:v>
                      </c:pt>
                    </c:strCache>
                  </c:strRef>
                </c:tx>
                <c:invertIfNegative val="0"/>
                <c:cat>
                  <c:strLit>
                    <c:ptCount val="1"/>
                    <c:pt idx="0">
                      <c:v>  </c:v>
                    </c:pt>
                  </c:strLit>
                </c:cat>
                <c:val>
                  <c:numRef>
                    <c:extLst xmlns:c15="http://schemas.microsoft.com/office/drawing/2012/chart">
                      <c:ext xmlns:c15="http://schemas.microsoft.com/office/drawing/2012/chart" uri="{02D57815-91ED-43cb-92C2-25804820EDAC}">
                        <c15:formulaRef>
                          <c15:sqref>'Scorecard Part III'!$S$22</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6-224B-4024-8654-21699C53DB17}"/>
                  </c:ext>
                </c:extLst>
              </c15:ser>
            </c15:filteredBarSeries>
          </c:ext>
        </c:extLst>
      </c:barChart>
      <c:catAx>
        <c:axId val="361892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59953344"/>
        <c:crossesAt val="0"/>
        <c:auto val="1"/>
        <c:lblAlgn val="ctr"/>
        <c:lblOffset val="100"/>
        <c:noMultiLvlLbl val="1"/>
      </c:catAx>
      <c:valAx>
        <c:axId val="359953344"/>
        <c:scaling>
          <c:orientation val="minMax"/>
          <c:max val="100"/>
          <c:min val="-20"/>
        </c:scaling>
        <c:delete val="0"/>
        <c:axPos val="l"/>
        <c:majorGridlines>
          <c:spPr>
            <a:ln w="3175">
              <a:solidFill>
                <a:srgbClr val="000000"/>
              </a:solidFill>
              <a:prstDash val="lgDash"/>
            </a:ln>
          </c:spPr>
        </c:majorGridlines>
        <c:title>
          <c:tx>
            <c:rich>
              <a:bodyPr/>
              <a:lstStyle/>
              <a:p>
                <a:pPr>
                  <a:defRPr sz="1800" b="1" i="0" u="none" strike="noStrike" baseline="0">
                    <a:solidFill>
                      <a:srgbClr val="000000"/>
                    </a:solidFill>
                    <a:latin typeface="Arial"/>
                    <a:ea typeface="Arial"/>
                    <a:cs typeface="Arial"/>
                  </a:defRPr>
                </a:pPr>
                <a:r>
                  <a:rPr lang="en-GB" sz="1800"/>
                  <a:t>Score</a:t>
                </a:r>
              </a:p>
            </c:rich>
          </c:tx>
          <c:layout>
            <c:manualLayout>
              <c:xMode val="edge"/>
              <c:yMode val="edge"/>
              <c:x val="6.9496084990321283E-2"/>
              <c:y val="0.4859799677346293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61892960"/>
        <c:crosses val="autoZero"/>
        <c:crossBetween val="between"/>
        <c:majorUnit val="10"/>
      </c:valAx>
      <c:spPr>
        <a:noFill/>
        <a:ln w="25400">
          <a:noFill/>
        </a:ln>
      </c:spPr>
    </c:plotArea>
    <c:legend>
      <c:legendPos val="r"/>
      <c:layout>
        <c:manualLayout>
          <c:xMode val="edge"/>
          <c:yMode val="edge"/>
          <c:x val="0.65242580705729059"/>
          <c:y val="0.18195182034030397"/>
          <c:w val="0.31783517603680012"/>
          <c:h val="0.66223770373198354"/>
        </c:manualLayout>
      </c:layout>
      <c:overlay val="0"/>
      <c:spPr>
        <a:solidFill>
          <a:srgbClr val="FFFFFF">
            <a:alpha val="65000"/>
          </a:srgbClr>
        </a:solidFill>
        <a:ln w="3175">
          <a:solidFill>
            <a:srgbClr val="000000"/>
          </a:solidFill>
          <a:prstDash val="solid"/>
        </a:ln>
      </c:spPr>
      <c:txPr>
        <a:bodyPr/>
        <a:lstStyle/>
        <a:p>
          <a:pPr>
            <a:defRPr sz="1600" b="0" i="0" u="none" strike="noStrike" baseline="0">
              <a:solidFill>
                <a:srgbClr val="000000"/>
              </a:solidFill>
              <a:latin typeface="Arial"/>
              <a:ea typeface="Arial"/>
              <a:cs typeface="Arial"/>
            </a:defRPr>
          </a:pPr>
          <a:endParaRPr lang="de-DE"/>
        </a:p>
      </c:txPr>
    </c:legend>
    <c:plotVisOnly val="0"/>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800"/>
            </a:pPr>
            <a:r>
              <a:rPr lang="en-US" sz="1800"/>
              <a:t>Technical Recyclability Score Part</a:t>
            </a:r>
            <a:r>
              <a:rPr lang="en-US" sz="1800" baseline="0"/>
              <a:t> III Scorecard - breakdown (WITHOUT polyAl)</a:t>
            </a:r>
            <a:endParaRPr lang="en-US" sz="1800"/>
          </a:p>
        </c:rich>
      </c:tx>
      <c:layout>
        <c:manualLayout>
          <c:xMode val="edge"/>
          <c:yMode val="edge"/>
          <c:x val="0.1969294545083401"/>
          <c:y val="3.7751853930170033E-2"/>
        </c:manualLayout>
      </c:layout>
      <c:overlay val="0"/>
    </c:title>
    <c:autoTitleDeleted val="0"/>
    <c:plotArea>
      <c:layout>
        <c:manualLayout>
          <c:layoutTarget val="inner"/>
          <c:xMode val="edge"/>
          <c:yMode val="edge"/>
          <c:x val="0.11859150318327408"/>
          <c:y val="0.20434139676960156"/>
          <c:w val="0.44059850018159524"/>
          <c:h val="0.69585912518120985"/>
        </c:manualLayout>
      </c:layout>
      <c:barChart>
        <c:barDir val="col"/>
        <c:grouping val="clustered"/>
        <c:varyColors val="0"/>
        <c:ser>
          <c:idx val="0"/>
          <c:order val="0"/>
          <c:tx>
            <c:strRef>
              <c:f>'Scorecard Part III'!$I$28</c:f>
              <c:strCache>
                <c:ptCount val="1"/>
                <c:pt idx="0">
                  <c:v>Technical Recyclability Score</c:v>
                </c:pt>
              </c:strCache>
            </c:strRef>
          </c:tx>
          <c:spPr>
            <a:solidFill>
              <a:sysClr val="windowText" lastClr="000000"/>
            </a:solidFill>
          </c:spPr>
          <c:invertIfNegative val="0"/>
          <c:cat>
            <c:strLit>
              <c:ptCount val="1"/>
              <c:pt idx="0">
                <c:v>  </c:v>
              </c:pt>
            </c:strLit>
          </c:cat>
          <c:val>
            <c:numRef>
              <c:f>'Scorecard Part III'!$G$28</c:f>
              <c:numCache>
                <c:formatCode>0</c:formatCode>
                <c:ptCount val="1"/>
                <c:pt idx="0">
                  <c:v>0</c:v>
                </c:pt>
              </c:numCache>
            </c:numRef>
          </c:val>
          <c:extLst>
            <c:ext xmlns:c16="http://schemas.microsoft.com/office/drawing/2014/chart" uri="{C3380CC4-5D6E-409C-BE32-E72D297353CC}">
              <c16:uniqueId val="{00000000-93E6-408E-B4C2-B77C5BB3B2A8}"/>
            </c:ext>
          </c:extLst>
        </c:ser>
        <c:ser>
          <c:idx val="3"/>
          <c:order val="1"/>
          <c:tx>
            <c:strRef>
              <c:f>'Scorecard Part III'!$B$16</c:f>
              <c:strCache>
                <c:ptCount val="1"/>
                <c:pt idx="0">
                  <c:v>Total screening yield</c:v>
                </c:pt>
              </c:strCache>
            </c:strRef>
          </c:tx>
          <c:spPr>
            <a:solidFill>
              <a:srgbClr val="4EA72E">
                <a:lumMod val="20000"/>
                <a:lumOff val="80000"/>
              </a:srgbClr>
            </a:solidFill>
          </c:spPr>
          <c:invertIfNegative val="0"/>
          <c:cat>
            <c:strLit>
              <c:ptCount val="1"/>
              <c:pt idx="0">
                <c:v>  </c:v>
              </c:pt>
            </c:strLit>
          </c:cat>
          <c:val>
            <c:numRef>
              <c:f>'Scorecard Part III'!$R$16</c:f>
              <c:numCache>
                <c:formatCode>0</c:formatCode>
                <c:ptCount val="1"/>
                <c:pt idx="0">
                  <c:v>0</c:v>
                </c:pt>
              </c:numCache>
            </c:numRef>
          </c:val>
          <c:extLst>
            <c:ext xmlns:c16="http://schemas.microsoft.com/office/drawing/2014/chart" uri="{C3380CC4-5D6E-409C-BE32-E72D297353CC}">
              <c16:uniqueId val="{00000000-14C6-4B22-A949-EBA938648EDE}"/>
            </c:ext>
          </c:extLst>
        </c:ser>
        <c:ser>
          <c:idx val="4"/>
          <c:order val="2"/>
          <c:tx>
            <c:strRef>
              <c:f>'Scorecard Part III'!$B$17</c:f>
              <c:strCache>
                <c:ptCount val="1"/>
                <c:pt idx="0">
                  <c:v>Coarse reject</c:v>
                </c:pt>
              </c:strCache>
            </c:strRef>
          </c:tx>
          <c:invertIfNegative val="0"/>
          <c:dPt>
            <c:idx val="0"/>
            <c:invertIfNegative val="0"/>
            <c:bubble3D val="0"/>
            <c:extLst>
              <c:ext xmlns:c16="http://schemas.microsoft.com/office/drawing/2014/chart" uri="{C3380CC4-5D6E-409C-BE32-E72D297353CC}">
                <c16:uniqueId val="{00000000-4E52-4E70-B8A4-6C26B218F8B2}"/>
              </c:ext>
            </c:extLst>
          </c:dPt>
          <c:cat>
            <c:strLit>
              <c:ptCount val="1"/>
              <c:pt idx="0">
                <c:v>  </c:v>
              </c:pt>
            </c:strLit>
          </c:cat>
          <c:val>
            <c:numRef>
              <c:f>'Scorecard Part III'!$R$17</c:f>
              <c:numCache>
                <c:formatCode>0</c:formatCode>
                <c:ptCount val="1"/>
                <c:pt idx="0">
                  <c:v>0</c:v>
                </c:pt>
              </c:numCache>
            </c:numRef>
          </c:val>
          <c:extLst>
            <c:ext xmlns:c16="http://schemas.microsoft.com/office/drawing/2014/chart" uri="{C3380CC4-5D6E-409C-BE32-E72D297353CC}">
              <c16:uniqueId val="{00000001-14C6-4B22-A949-EBA938648EDE}"/>
            </c:ext>
          </c:extLst>
        </c:ser>
        <c:ser>
          <c:idx val="5"/>
          <c:order val="3"/>
          <c:tx>
            <c:strRef>
              <c:f>'Scorecard Part III'!$B$18</c:f>
              <c:strCache>
                <c:ptCount val="1"/>
                <c:pt idx="0">
                  <c:v>Coarse reject quality
(Fibre content related)</c:v>
                </c:pt>
              </c:strCache>
            </c:strRef>
          </c:tx>
          <c:invertIfNegative val="0"/>
          <c:cat>
            <c:strLit>
              <c:ptCount val="1"/>
              <c:pt idx="0">
                <c:v>  </c:v>
              </c:pt>
            </c:strLit>
          </c:cat>
          <c:val>
            <c:numRef>
              <c:f>'Scorecard Part III'!$R$17</c:f>
              <c:numCache>
                <c:formatCode>0</c:formatCode>
                <c:ptCount val="1"/>
                <c:pt idx="0">
                  <c:v>0</c:v>
                </c:pt>
              </c:numCache>
            </c:numRef>
          </c:val>
          <c:extLst>
            <c:ext xmlns:c16="http://schemas.microsoft.com/office/drawing/2014/chart" uri="{C3380CC4-5D6E-409C-BE32-E72D297353CC}">
              <c16:uniqueId val="{00000002-14C6-4B22-A949-EBA938648EDE}"/>
            </c:ext>
          </c:extLst>
        </c:ser>
        <c:dLbls>
          <c:showLegendKey val="0"/>
          <c:showVal val="0"/>
          <c:showCatName val="0"/>
          <c:showSerName val="0"/>
          <c:showPercent val="0"/>
          <c:showBubbleSize val="0"/>
        </c:dLbls>
        <c:gapWidth val="150"/>
        <c:overlap val="-30"/>
        <c:axId val="361892960"/>
        <c:axId val="359953344"/>
        <c:extLst>
          <c:ext xmlns:c15="http://schemas.microsoft.com/office/drawing/2012/chart" uri="{02D57815-91ED-43cb-92C2-25804820EDAC}">
            <c15:filteredBarSeries>
              <c15:ser>
                <c:idx val="6"/>
                <c:order val="4"/>
                <c:tx>
                  <c:strRef>
                    <c:extLst>
                      <c:ext uri="{02D57815-91ED-43cb-92C2-25804820EDAC}">
                        <c15:formulaRef>
                          <c15:sqref>'Scorecard Part III'!$B$19</c15:sqref>
                        </c15:formulaRef>
                      </c:ext>
                    </c:extLst>
                    <c:strCache>
                      <c:ptCount val="1"/>
                      <c:pt idx="0">
                        <c:v>Visual impurities</c:v>
                      </c:pt>
                    </c:strCache>
                  </c:strRef>
                </c:tx>
                <c:invertIfNegative val="0"/>
                <c:cat>
                  <c:strLit>
                    <c:ptCount val="1"/>
                    <c:pt idx="0">
                      <c:v>  </c:v>
                    </c:pt>
                  </c:strLit>
                </c:cat>
                <c:val>
                  <c:numRef>
                    <c:extLst>
                      <c:ext uri="{02D57815-91ED-43cb-92C2-25804820EDAC}">
                        <c15:formulaRef>
                          <c15:sqref>'Scorecard Part III'!$R$19</c15:sqref>
                        </c15:formulaRef>
                      </c:ext>
                    </c:extLst>
                    <c:numCache>
                      <c:formatCode>0</c:formatCode>
                      <c:ptCount val="1"/>
                      <c:pt idx="0">
                        <c:v>0</c:v>
                      </c:pt>
                    </c:numCache>
                  </c:numRef>
                </c:val>
                <c:extLst>
                  <c:ext xmlns:c16="http://schemas.microsoft.com/office/drawing/2014/chart" uri="{C3380CC4-5D6E-409C-BE32-E72D297353CC}">
                    <c16:uniqueId val="{00000003-14C6-4B22-A949-EBA938648EDE}"/>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'Scorecard Part III'!$B$20</c15:sqref>
                        </c15:formulaRef>
                      </c:ext>
                    </c:extLst>
                    <c:strCache>
                      <c:ptCount val="1"/>
                      <c:pt idx="0">
                        <c:v>Sheet adhesion </c:v>
                      </c:pt>
                    </c:strCache>
                  </c:strRef>
                </c:tx>
                <c:invertIfNegative val="0"/>
                <c:cat>
                  <c:strLit>
                    <c:ptCount val="1"/>
                    <c:pt idx="0">
                      <c:v>  </c:v>
                    </c:pt>
                  </c:strLit>
                </c:cat>
                <c:val>
                  <c:numRef>
                    <c:extLst xmlns:c15="http://schemas.microsoft.com/office/drawing/2012/chart">
                      <c:ext xmlns:c15="http://schemas.microsoft.com/office/drawing/2012/chart" uri="{02D57815-91ED-43cb-92C2-25804820EDAC}">
                        <c15:formulaRef>
                          <c15:sqref>'Scorecard Part III'!$R$20</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4-14C6-4B22-A949-EBA938648EDE}"/>
                  </c:ext>
                </c:extLst>
              </c15:ser>
            </c15:filteredBarSeries>
            <c15:filteredBarSeries>
              <c15:ser>
                <c:idx val="9"/>
                <c:order val="6"/>
                <c:tx>
                  <c:strRef>
                    <c:extLst xmlns:c15="http://schemas.microsoft.com/office/drawing/2012/chart">
                      <c:ext xmlns:c15="http://schemas.microsoft.com/office/drawing/2012/chart" uri="{02D57815-91ED-43cb-92C2-25804820EDAC}">
                        <c15:formulaRef>
                          <c15:sqref>'Scorecard Part III'!$B$21</c15:sqref>
                        </c15:formulaRef>
                      </c:ext>
                    </c:extLst>
                    <c:strCache>
                      <c:ptCount val="1"/>
                      <c:pt idx="0">
                        <c:v>Ash content</c:v>
                      </c:pt>
                    </c:strCache>
                  </c:strRef>
                </c:tx>
                <c:invertIfNegative val="0"/>
                <c:cat>
                  <c:strLit>
                    <c:ptCount val="1"/>
                    <c:pt idx="0">
                      <c:v>  </c:v>
                    </c:pt>
                  </c:strLit>
                </c:cat>
                <c:val>
                  <c:numRef>
                    <c:extLst xmlns:c15="http://schemas.microsoft.com/office/drawing/2012/chart">
                      <c:ext xmlns:c15="http://schemas.microsoft.com/office/drawing/2012/chart" uri="{02D57815-91ED-43cb-92C2-25804820EDAC}">
                        <c15:formulaRef>
                          <c15:sqref>'Scorecard Part III'!$R$21</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5-14C6-4B22-A949-EBA938648EDE}"/>
                  </c:ext>
                </c:extLst>
              </c15:ser>
            </c15:filteredBarSeries>
            <c15:filteredBarSeries>
              <c15:ser>
                <c:idx val="10"/>
                <c:order val="7"/>
                <c:tx>
                  <c:strRef>
                    <c:extLst xmlns:c15="http://schemas.microsoft.com/office/drawing/2012/chart">
                      <c:ext xmlns:c15="http://schemas.microsoft.com/office/drawing/2012/chart" uri="{02D57815-91ED-43cb-92C2-25804820EDAC}">
                        <c15:formulaRef>
                          <c15:sqref>'Scorecard Part III'!$B$22</c15:sqref>
                        </c15:formulaRef>
                      </c:ext>
                    </c:extLst>
                    <c:strCache>
                      <c:ptCount val="1"/>
                      <c:pt idx="0">
                        <c:v>Tensile index </c:v>
                      </c:pt>
                    </c:strCache>
                  </c:strRef>
                </c:tx>
                <c:invertIfNegative val="0"/>
                <c:cat>
                  <c:strLit>
                    <c:ptCount val="1"/>
                    <c:pt idx="0">
                      <c:v>  </c:v>
                    </c:pt>
                  </c:strLit>
                </c:cat>
                <c:val>
                  <c:numRef>
                    <c:extLst xmlns:c15="http://schemas.microsoft.com/office/drawing/2012/chart">
                      <c:ext xmlns:c15="http://schemas.microsoft.com/office/drawing/2012/chart" uri="{02D57815-91ED-43cb-92C2-25804820EDAC}">
                        <c15:formulaRef>
                          <c15:sqref>'Scorecard Part III'!$R$22</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6-14C6-4B22-A949-EBA938648EDE}"/>
                  </c:ext>
                </c:extLst>
              </c15:ser>
            </c15:filteredBarSeries>
          </c:ext>
        </c:extLst>
      </c:barChart>
      <c:catAx>
        <c:axId val="361892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59953344"/>
        <c:crossesAt val="0"/>
        <c:auto val="1"/>
        <c:lblAlgn val="ctr"/>
        <c:lblOffset val="100"/>
        <c:noMultiLvlLbl val="1"/>
      </c:catAx>
      <c:valAx>
        <c:axId val="359953344"/>
        <c:scaling>
          <c:orientation val="minMax"/>
          <c:max val="100"/>
          <c:min val="-20"/>
        </c:scaling>
        <c:delete val="0"/>
        <c:axPos val="l"/>
        <c:majorGridlines>
          <c:spPr>
            <a:ln w="3175">
              <a:solidFill>
                <a:srgbClr val="000000"/>
              </a:solidFill>
              <a:prstDash val="lgDash"/>
            </a:ln>
          </c:spPr>
        </c:majorGridlines>
        <c:title>
          <c:tx>
            <c:rich>
              <a:bodyPr/>
              <a:lstStyle/>
              <a:p>
                <a:pPr>
                  <a:defRPr sz="1800" b="1" i="0" u="none" strike="noStrike" baseline="0">
                    <a:solidFill>
                      <a:srgbClr val="000000"/>
                    </a:solidFill>
                    <a:latin typeface="Arial"/>
                    <a:ea typeface="Arial"/>
                    <a:cs typeface="Arial"/>
                  </a:defRPr>
                </a:pPr>
                <a:r>
                  <a:rPr lang="en-GB" sz="1800"/>
                  <a:t>Score</a:t>
                </a:r>
              </a:p>
            </c:rich>
          </c:tx>
          <c:layout>
            <c:manualLayout>
              <c:xMode val="edge"/>
              <c:yMode val="edge"/>
              <c:x val="2.0025628657780674E-2"/>
              <c:y val="0.4047626610232370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Arial"/>
                <a:ea typeface="Arial"/>
                <a:cs typeface="Arial"/>
              </a:defRPr>
            </a:pPr>
            <a:endParaRPr lang="de-DE"/>
          </a:p>
        </c:txPr>
        <c:crossAx val="361892960"/>
        <c:crosses val="autoZero"/>
        <c:crossBetween val="between"/>
        <c:majorUnit val="10"/>
      </c:valAx>
      <c:spPr>
        <a:noFill/>
        <a:ln w="25400">
          <a:noFill/>
        </a:ln>
      </c:spPr>
    </c:plotArea>
    <c:legend>
      <c:legendPos val="r"/>
      <c:layout>
        <c:manualLayout>
          <c:xMode val="edge"/>
          <c:yMode val="edge"/>
          <c:x val="0.61427893902607733"/>
          <c:y val="0.33487082745043573"/>
          <c:w val="0.32799599312395294"/>
          <c:h val="0.43653041180386926"/>
        </c:manualLayout>
      </c:layout>
      <c:overlay val="0"/>
      <c:spPr>
        <a:solidFill>
          <a:srgbClr val="FFFFFF">
            <a:alpha val="65000"/>
          </a:srgbClr>
        </a:solidFill>
        <a:ln w="3175">
          <a:solidFill>
            <a:srgbClr val="000000"/>
          </a:solidFill>
          <a:prstDash val="solid"/>
        </a:ln>
      </c:spPr>
      <c:txPr>
        <a:bodyPr/>
        <a:lstStyle/>
        <a:p>
          <a:pPr>
            <a:defRPr sz="1600" b="0" i="0" u="none" strike="noStrike" baseline="0">
              <a:solidFill>
                <a:srgbClr val="000000"/>
              </a:solidFill>
              <a:latin typeface="Arial"/>
              <a:ea typeface="Arial"/>
              <a:cs typeface="Arial"/>
            </a:defRPr>
          </a:pPr>
          <a:endParaRPr lang="de-DE"/>
        </a:p>
      </c:txPr>
    </c:legend>
    <c:plotVisOnly val="0"/>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de-DE"/>
    </a:p>
  </c:tx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21210333" y="1666474"/>
    <xdr:ext cx="5810251" cy="7170963"/>
    <xdr:graphicFrame macro="">
      <xdr:nvGraphicFramePr>
        <xdr:cNvPr id="3" name="Diagramm 2">
          <a:extLst>
            <a:ext uri="{FF2B5EF4-FFF2-40B4-BE49-F238E27FC236}">
              <a16:creationId xmlns:a16="http://schemas.microsoft.com/office/drawing/2014/main" id="{E9AC01CD-4592-4476-AFB7-C5074D728F8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6</xdr:col>
      <xdr:colOff>843644</xdr:colOff>
      <xdr:row>1</xdr:row>
      <xdr:rowOff>136071</xdr:rowOff>
    </xdr:from>
    <xdr:to>
      <xdr:col>7</xdr:col>
      <xdr:colOff>2196209</xdr:colOff>
      <xdr:row>6</xdr:row>
      <xdr:rowOff>96167</xdr:rowOff>
    </xdr:to>
    <xdr:pic>
      <xdr:nvPicPr>
        <xdr:cNvPr id="4" name="Picture 4" descr="guidelines and protocol - 4evergreen">
          <a:extLst>
            <a:ext uri="{FF2B5EF4-FFF2-40B4-BE49-F238E27FC236}">
              <a16:creationId xmlns:a16="http://schemas.microsoft.com/office/drawing/2014/main" id="{7038ABC9-70E3-4281-863A-C5054671AEE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776" b="19973"/>
        <a:stretch/>
      </xdr:blipFill>
      <xdr:spPr bwMode="auto">
        <a:xfrm>
          <a:off x="10014858" y="394607"/>
          <a:ext cx="3937922" cy="980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20998756" y="1662956"/>
    <xdr:ext cx="7715248" cy="8905259"/>
    <xdr:graphicFrame macro="">
      <xdr:nvGraphicFramePr>
        <xdr:cNvPr id="2" name="Diagramm 1">
          <a:extLst>
            <a:ext uri="{FF2B5EF4-FFF2-40B4-BE49-F238E27FC236}">
              <a16:creationId xmlns:a16="http://schemas.microsoft.com/office/drawing/2014/main" id="{9CC8D5EA-7DCE-434D-8971-9469178274D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10</xdr:col>
      <xdr:colOff>2217965</xdr:colOff>
      <xdr:row>1</xdr:row>
      <xdr:rowOff>87087</xdr:rowOff>
    </xdr:from>
    <xdr:to>
      <xdr:col>11</xdr:col>
      <xdr:colOff>3311993</xdr:colOff>
      <xdr:row>5</xdr:row>
      <xdr:rowOff>192860</xdr:rowOff>
    </xdr:to>
    <xdr:pic>
      <xdr:nvPicPr>
        <xdr:cNvPr id="4" name="Picture 4" descr="guidelines and protocol - 4evergreen">
          <a:extLst>
            <a:ext uri="{FF2B5EF4-FFF2-40B4-BE49-F238E27FC236}">
              <a16:creationId xmlns:a16="http://schemas.microsoft.com/office/drawing/2014/main" id="{B63CA789-2881-4441-AC48-33A122961AA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776" b="19973"/>
        <a:stretch/>
      </xdr:blipFill>
      <xdr:spPr bwMode="auto">
        <a:xfrm>
          <a:off x="11021786" y="345623"/>
          <a:ext cx="3937922" cy="980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17376322" y="6676644"/>
    <xdr:ext cx="8749393" cy="4816929"/>
    <xdr:graphicFrame macro="">
      <xdr:nvGraphicFramePr>
        <xdr:cNvPr id="2" name="Diagramm 1">
          <a:extLst>
            <a:ext uri="{FF2B5EF4-FFF2-40B4-BE49-F238E27FC236}">
              <a16:creationId xmlns:a16="http://schemas.microsoft.com/office/drawing/2014/main" id="{903550FE-A380-4216-94A3-13B381639F9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17219915" y="2063482"/>
    <xdr:ext cx="8602439" cy="4611461"/>
    <xdr:graphicFrame macro="">
      <xdr:nvGraphicFramePr>
        <xdr:cNvPr id="3" name="Diagramm 1">
          <a:extLst>
            <a:ext uri="{FF2B5EF4-FFF2-40B4-BE49-F238E27FC236}">
              <a16:creationId xmlns:a16="http://schemas.microsoft.com/office/drawing/2014/main" id="{0612B233-4132-40C8-976C-A9481E7B85C5}"/>
            </a:ext>
            <a:ext uri="{147F2762-F138-4A5C-976F-8EAC2B608ADB}">
              <a16:predDERef xmlns:a16="http://schemas.microsoft.com/office/drawing/2014/main" pred="{903550FE-A380-4216-94A3-13B381639F9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editAs="oneCell">
    <xdr:from>
      <xdr:col>7</xdr:col>
      <xdr:colOff>557892</xdr:colOff>
      <xdr:row>1</xdr:row>
      <xdr:rowOff>108857</xdr:rowOff>
    </xdr:from>
    <xdr:to>
      <xdr:col>8</xdr:col>
      <xdr:colOff>3298384</xdr:colOff>
      <xdr:row>6</xdr:row>
      <xdr:rowOff>53440</xdr:rowOff>
    </xdr:to>
    <xdr:pic>
      <xdr:nvPicPr>
        <xdr:cNvPr id="4" name="Picture 4" descr="guidelines and protocol - 4evergreen">
          <a:extLst>
            <a:ext uri="{FF2B5EF4-FFF2-40B4-BE49-F238E27FC236}">
              <a16:creationId xmlns:a16="http://schemas.microsoft.com/office/drawing/2014/main" id="{266E015D-B427-442E-B449-D95DC56314B3}"/>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1776" b="19973"/>
        <a:stretch/>
      </xdr:blipFill>
      <xdr:spPr bwMode="auto">
        <a:xfrm>
          <a:off x="7102928" y="367393"/>
          <a:ext cx="3937922" cy="980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Nils De Rybel" id="{0645B5F7-DA22-4397-ACEB-90012AE1003E}" userId="S::nils.derybel@amcor.com::b56a0296-11cc-4abd-b14f-882676bf4795" providerId="AD"/>
  <person displayName="Hengesbach, Peter" id="{6F02AB3F-8E7C-4B7F-8FAC-4FD75FB2D9B5}" userId="S::Peter.Hengesbach@storaenso.com::0eab321b-490c-4638-89c2-d931c8175e9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6E1D69-FA4E-4BB9-9C5E-1AA0E2E53B57}" name="Tabelle14" displayName="Tabelle14" ref="J30:L34" totalsRowShown="0" headerRowDxfId="24" dataDxfId="23">
  <autoFilter ref="J30:L34" xr:uid="{11EA4698-BA12-4143-A9A2-7642D502B9DC}"/>
  <tableColumns count="3">
    <tableColumn id="1" xr3:uid="{12C62D58-61C6-4249-A774-4C04BB70ADBF}" name="DSC [mg/g]" dataDxfId="22"/>
    <tableColumn id="2" xr3:uid="{AED790E2-4BA5-439B-84F8-4F69D46DE721}" name="DCS Score target" dataDxfId="21"/>
    <tableColumn id="3" xr3:uid="{00E80804-A17A-4057-95F8-6A6379DC7C12}" name="slope" dataDxfId="20">
      <calculatedColumnFormula>-(K31-K30)/(J31-J30)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J9" dT="2024-04-09T20:20:39.08" personId="{0645B5F7-DA22-4397-ACEB-90012AE1003E}" id="{B1DD9564-44A4-4BC6-B1E0-957605B1C72E}">
    <text>These parameters can be changed if one wants to create a new proposal</text>
  </threadedComment>
  <threadedComment ref="K10" dT="2024-04-09T19:29:16.47" personId="{0645B5F7-DA22-4397-ACEB-90012AE1003E}" id="{C11E7B39-B63C-4493-B91C-77A349681E3F}">
    <text>This is the lowest pulping time possible.
If this value is chosen no further penalty will be applied to the yield score</text>
  </threadedComment>
  <threadedComment ref="L10" dT="2024-10-13T20:44:51.14" personId="{6F02AB3F-8E7C-4B7F-8FAC-4FD75FB2D9B5}" id="{A481EC8B-BFF0-4D79-8349-428A0931AB53}">
    <text>This is the highest pulping time possible. A penalty will be assigned if this is chosen. The penalty will be assigned using the value of parameter 3.</text>
  </threadedComment>
  <threadedComment ref="M10" dT="2024-09-12T21:59:29.71" personId="{6F02AB3F-8E7C-4B7F-8FAC-4FD75FB2D9B5}" id="{A03AE7A0-2F0A-4646-8CB9-676FBB90618F}">
    <text>Max score when 20 min</text>
  </threadedComment>
  <threadedComment ref="K11" dT="2024-10-13T20:42:59.55" personId="{6F02AB3F-8E7C-4B7F-8FAC-4FD75FB2D9B5}" id="{85E9EF75-A1E5-4B95-BA6D-4033381EC855}">
    <text xml:space="preserve">This parameter is used to calculate the total screening reject. The total screening reject is calculated by the sum of the coarse and fine reject, but the fine reject is multiplied by parameter 1.
In this case it means the fine reject value is multiplied by 0,9 for the total screening reject and thus more fine reject is allowed compared to coarse reject
</text>
  </threadedComment>
  <threadedComment ref="K13" dT="2024-10-13T20:13:25.98" personId="{6F02AB3F-8E7C-4B7F-8FAC-4FD75FB2D9B5}" id="{A471C548-9DD0-4AAA-ADF2-C0EE428D107F}">
    <text xml:space="preserve">This parameter is a treshold is used to calculate the screening yield score. If the total scrrening reject is lower than this treshold the screening yield score is reduced by parameter 2 if it is higher it will be reduced by parameter 4
In this case any sample with a total reject of less than 5% will lose 2 points for every 1% reject increase, while a total reject higher than 5% will lose 4.5 points for every 1% reject increase
</text>
  </threadedComment>
  <threadedComment ref="L13" dT="2024-04-09T19:41:40.59" personId="{0645B5F7-DA22-4397-ACEB-90012AE1003E}" id="{AE971436-7F32-463D-BEDD-5FBEDCC64CD7}">
    <text>This parameter is used to calculate the yield score for total reject values lower than parameter 2.</text>
  </threadedComment>
  <threadedComment ref="M13" dT="2024-04-09T19:43:54.21" personId="{0645B5F7-DA22-4397-ACEB-90012AE1003E}" id="{62418CBA-83F1-4FE5-9189-8BBEE0FDA1FA}">
    <text>This parameter is a treshold is used to calculate the yield score. If the reject is lower than this treshold the yield score is reduced by parameter 5 if it is higher it will be reduced by parameter 6
In this case any sample with a total reject of less than 15% will lose 4,5 points for every 1% reject increase, while a total reject higher than 15% will lose 9 points for every 1% reject increase</text>
  </threadedComment>
  <threadedComment ref="N13" dT="2024-04-09T19:46:10.71" personId="{0645B5F7-DA22-4397-ACEB-90012AE1003E}" id="{2E74256D-07BF-43C0-95BF-8A7EF6271EDF}">
    <text>This parameter is used to calculate the yield score for total reject values lower than parameter 4.</text>
  </threadedComment>
  <threadedComment ref="O13" dT="2024-04-09T19:46:55.02" personId="{0645B5F7-DA22-4397-ACEB-90012AE1003E}" id="{60C81BE1-8EBD-4767-A04B-F421C3684AE2}">
    <text>This parameter is used to calculate the yield score for total reject values higher than parameter 4.</text>
  </threadedComment>
  <threadedComment ref="K14" dT="2024-10-03T09:15:08.35" personId="{6F02AB3F-8E7C-4B7F-8FAC-4FD75FB2D9B5}" id="{3E1C2335-AF82-49E0-8733-724E2E677370}">
    <text>This parameter is a treshold is used to calculate the DCS score. If the DCS is lower than this treshold the DCS score is reduced by #parameter 2# if it is higher it will be reduced by #parameter 4#
In this case any sample with a DCS of less than #Parameter1# mg/g will lose #Parameter2# points for every 1 mg/g DCS increase increase, while a DCS higher than #parameter1# will lose #Parameter4# points for every 1 mg/g DCS increase
Parameter 2 and 4 can be calculated in table B16...D20</text>
  </threadedComment>
  <threadedComment ref="M14" dT="2024-10-03T20:31:54.48" personId="{6F02AB3F-8E7C-4B7F-8FAC-4FD75FB2D9B5}" id="{F0567B82-FCE6-456B-8561-026B7240793A}">
    <text xml:space="preserve">This parameter is a treshold is used to calculate the DCS score. If the DCS is lower than this treshold the DCS score is reduced by #parameter 4# if it is higher it will be reduced by #parameter 5#
In this case any sample with a DCS of less than #Parameter3#mg/g will lose #Parameter4# points for every 1 mg/g DCS increase increase, while a DCS higher than #parameter3# will lose #Parameter5# points for every 1 mg/g DCS increase
Parameter 2 and 4 can be calculated in table B16...D20
</text>
  </threadedComment>
  <threadedComment ref="K15" dT="2024-04-09T19:48:46.19" personId="{0645B5F7-DA22-4397-ACEB-90012AE1003E}" id="{C2E6D394-DA72-49AF-9AFB-A63EF64473C4}">
    <text>Score for level 1 sheet adhesion</text>
  </threadedComment>
  <threadedComment ref="L15" dT="2024-04-09T19:48:57.00" personId="{0645B5F7-DA22-4397-ACEB-90012AE1003E}" id="{7A69F8B8-171D-417D-9D46-41EB1CE30EFC}">
    <text>Score for level 2 sheet adhesion</text>
  </threadedComment>
  <threadedComment ref="M15" dT="2024-04-09T19:49:34.65" personId="{0645B5F7-DA22-4397-ACEB-90012AE1003E}" id="{B92D25CE-5295-403B-AA05-97E55E65D9AA}">
    <text>Score for level 3 sheet adhesion
In this case a knockout is assigned.
It means if this level is obtained the overal score does not mather and the sample is classed as not recycable</text>
  </threadedComment>
  <threadedComment ref="K16" dT="2024-04-09T19:50:05.59" personId="{0645B5F7-DA22-4397-ACEB-90012AE1003E}" id="{A42F4526-9CA6-46E3-AEA7-415B4173C143}">
    <text>Score for level 1 visual impurities</text>
  </threadedComment>
  <threadedComment ref="L16" dT="2024-04-09T19:50:14.57" personId="{0645B5F7-DA22-4397-ACEB-90012AE1003E}" id="{81E4C148-B85E-4926-8076-885E52511016}">
    <text>Score for level 2 visual impurities</text>
  </threadedComment>
  <threadedComment ref="M16" dT="2024-04-09T19:50:24.18" personId="{0645B5F7-DA22-4397-ACEB-90012AE1003E}" id="{F624AAF7-C0D7-4155-9B7C-B41DBF96A656}">
    <text>Score for level 3 visual impurities</text>
  </threadedComment>
  <threadedComment ref="N16" dT="2024-04-09T19:50:32.91" personId="{0645B5F7-DA22-4397-ACEB-90012AE1003E}" id="{F84EE827-E5CB-474A-93A8-F08C10CE8FF8}">
    <text>Score for level 4 visual impurities</text>
  </threadedComment>
  <threadedComment ref="J20" dT="2024-04-09T20:20:39.08" personId="{0645B5F7-DA22-4397-ACEB-90012AE1003E}" id="{B1DD9564-44A4-4BC7-B1E0-957605B1C72E}">
    <text>These parameters can be changed if one wants to create a new proposal</text>
  </threadedComment>
</ThreadedComments>
</file>

<file path=xl/threadedComments/threadedComment2.xml><?xml version="1.0" encoding="utf-8"?>
<ThreadedComments xmlns="http://schemas.microsoft.com/office/spreadsheetml/2018/threadedcomments" xmlns:x="http://schemas.openxmlformats.org/spreadsheetml/2006/main">
  <threadedComment ref="I9" dT="2024-04-09T20:21:08.74" personId="{0645B5F7-DA22-4397-ACEB-90012AE1003E}" id="{90C5037E-FFA6-48F9-8E50-6CC348BE58DC}">
    <text>In this column the calculations are made for the score, these calculations can be changed if you want to make a new proposal</text>
  </threadedComment>
  <threadedComment ref="N9" dT="2024-04-09T20:20:39.08" personId="{0645B5F7-DA22-4397-ACEB-90012AE1003E}" id="{6D6593ED-1E2D-49FB-A275-2B3BB9EB7567}">
    <text>These parameters can be changed if one wants to create a new proposal</text>
  </threadedComment>
  <threadedComment ref="U9" dT="2024-06-24T07:05:58.63" personId="{6F02AB3F-8E7C-4B7F-8FAC-4FD75FB2D9B5}" id="{9F2E83B1-5DBC-43C0-BD65-29887F9B0153}">
    <text>Contribution of subscore to total score considered (weighted)</text>
  </threadedComment>
  <threadedComment ref="V9" dT="2024-06-24T07:05:58.63" personId="{6F02AB3F-8E7C-4B7F-8FAC-4FD75FB2D9B5}" id="{3313A6A8-A0FA-4BFC-BE01-FE4E214F6F7B}">
    <text>Contribution of subscore to total score considered (weighted)</text>
  </threadedComment>
  <threadedComment ref="O10" dT="2024-06-21T13:29:33.74" personId="{6F02AB3F-8E7C-4B7F-8FAC-4FD75FB2D9B5}" id="{58BD97CE-C6F5-4A5F-8FF5-B07ED4843127}">
    <text>Reject factor</text>
  </threadedComment>
  <threadedComment ref="O11" dT="2024-06-21T13:30:16.04" personId="{6F02AB3F-8E7C-4B7F-8FAC-4FD75FB2D9B5}" id="{5E38B869-24A7-494E-8B23-0D39F59345C4}">
    <text>Current situation in PART I: factor for fine reject (90% i.e. 0,9).
Discussion: factor for both rejects depending on the quality of the reject.
Currently here only fixed factors possible for both parameters</text>
  </threadedComment>
  <threadedComment ref="R23" dT="2024-10-15T05:04:13.16" personId="{6F02AB3F-8E7C-4B7F-8FAC-4FD75FB2D9B5}" id="{D99DAB62-A643-4F9E-8584-002FB985FCB3}">
    <text>If Y_UP &gt;= Y_target - 3 then Y_gain = 10</text>
  </threadedComment>
  <threadedComment ref="S23" dT="2024-10-15T05:04:38.60" personId="{6F02AB3F-8E7C-4B7F-8FAC-4FD75FB2D9B5}" id="{48954304-C039-43EE-B179-E23DB0ED666D}">
    <text>If Y_DP &gt;= Y_target then Y_gain = 10</text>
  </threadedComment>
  <threadedComment ref="I25" dT="2024-06-24T11:27:58.56" personId="{6F02AB3F-8E7C-4B7F-8FAC-4FD75FB2D9B5}" id="{8D1CDA77-B53B-497A-889F-ACA16CD59B78}">
    <text>Raw subscore batch 1 (related to 100 max for batch 1)</text>
  </threadedComment>
  <threadedComment ref="Q25" dT="2024-04-23T19:02:10.06" personId="{6F02AB3F-8E7C-4B7F-8FAC-4FD75FB2D9B5}" id="{1D38ED02-6180-4A9F-A2EC-375B6E6DCABC}">
    <text>Check total sub score batch 1, Needs to be 100</text>
  </threadedComment>
  <threadedComment ref="R25" dT="2024-06-21T13:28:57.68" personId="{6F02AB3F-8E7C-4B7F-8FAC-4FD75FB2D9B5}" id="{C3812F18-BFFB-47E3-AEBB-A554CA913753}">
    <text>Contribution of batch 1 to total score in %</text>
  </threadedComment>
  <threadedComment ref="I26" dT="2024-06-24T11:28:09.86" personId="{6F02AB3F-8E7C-4B7F-8FAC-4FD75FB2D9B5}" id="{2EF2C268-96D8-4FB4-9110-DAA7EF795546}">
    <text>Raw subscore batch 2 (related to 100 max for batch 2)</text>
  </threadedComment>
  <threadedComment ref="Q26" dT="2024-04-23T19:02:10.06" personId="{6F02AB3F-8E7C-4B7F-8FAC-4FD75FB2D9B5}" id="{126D8154-BFC5-4A58-9824-E6C249C982D5}">
    <text>check</text>
  </threadedComment>
  <threadedComment ref="R26" dT="2024-06-21T13:29:08.86" personId="{6F02AB3F-8E7C-4B7F-8FAC-4FD75FB2D9B5}" id="{61653698-F529-46C8-B709-03BECCCA0A16}">
    <text>Contribution of batch 2 to total score in %</text>
  </threadedComment>
  <threadedComment ref="R27" dT="2024-06-21T13:31:18.37" personId="{6F02AB3F-8E7C-4B7F-8FAC-4FD75FB2D9B5}" id="{74980B2A-7530-4CC5-B7F5-15B055999502}">
    <text>See comment of the cell for details</text>
  </threadedComment>
  <threadedComment ref="I31" dT="2024-04-09T20:21:08.74" personId="{0645B5F7-DA22-4397-ACEB-90012AE1003E}" id="{90C5037E-FFA6-48FA-8E50-6CC348BE58DC}">
    <text>In this column the calculations are made for the score, these calculations can be changed if you want to make a new proposal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9DA5D-D608-4655-89B5-AE49BC52E549}">
  <sheetPr codeName="Tabelle16">
    <tabColor rgb="FF00B0F0"/>
    <pageSetUpPr fitToPage="1"/>
  </sheetPr>
  <dimension ref="A1:U53"/>
  <sheetViews>
    <sheetView showGridLines="0" zoomScale="70" zoomScaleNormal="70" workbookViewId="0">
      <selection activeCell="A22" sqref="A22"/>
    </sheetView>
  </sheetViews>
  <sheetFormatPr defaultColWidth="8.85546875" defaultRowHeight="15" outlineLevelCol="1"/>
  <cols>
    <col min="1" max="1" width="30.140625" customWidth="1"/>
    <col min="2" max="2" width="20.42578125" customWidth="1"/>
    <col min="3" max="3" width="23.140625" customWidth="1"/>
    <col min="4" max="4" width="44.85546875" customWidth="1"/>
    <col min="5" max="5" width="28.28515625" customWidth="1"/>
    <col min="6" max="6" width="18.7109375" customWidth="1"/>
    <col min="7" max="7" width="38.85546875" customWidth="1"/>
    <col min="8" max="8" width="50" customWidth="1"/>
    <col min="9" max="9" width="14.28515625" hidden="1" customWidth="1" outlineLevel="1"/>
    <col min="10" max="10" width="18.85546875" hidden="1" customWidth="1" outlineLevel="1"/>
    <col min="11" max="15" width="14.28515625" hidden="1" customWidth="1" outlineLevel="1"/>
    <col min="16" max="16" width="8.85546875" hidden="1" customWidth="1" outlineLevel="1"/>
    <col min="17" max="17" width="31.140625" hidden="1" customWidth="1" outlineLevel="1"/>
    <col min="18" max="18" width="97.7109375" customWidth="1" collapsed="1"/>
    <col min="19" max="20" width="78" hidden="1" customWidth="1" outlineLevel="1"/>
    <col min="21" max="21" width="8.85546875" collapsed="1"/>
  </cols>
  <sheetData>
    <row r="1" spans="1:20" s="3" customFormat="1" ht="20.100000000000001">
      <c r="A1" s="1" t="s">
        <v>0</v>
      </c>
      <c r="B1" s="2"/>
      <c r="C1" s="2"/>
      <c r="D1" s="2"/>
      <c r="H1" s="4"/>
      <c r="I1"/>
      <c r="J1"/>
      <c r="L1" s="5"/>
    </row>
    <row r="2" spans="1:20" s="3" customFormat="1" ht="15.95">
      <c r="A2" s="6" t="s">
        <v>1</v>
      </c>
      <c r="B2" s="6" t="s">
        <v>2</v>
      </c>
      <c r="C2" s="7"/>
      <c r="D2" s="2"/>
      <c r="H2" s="4"/>
      <c r="I2"/>
      <c r="J2"/>
      <c r="L2" s="5"/>
    </row>
    <row r="3" spans="1:20" s="3" customFormat="1" ht="15.95">
      <c r="A3" s="6" t="s">
        <v>3</v>
      </c>
      <c r="B3" s="8">
        <v>46199</v>
      </c>
      <c r="C3" s="7"/>
      <c r="D3" s="2"/>
      <c r="H3" s="4"/>
      <c r="I3"/>
      <c r="J3"/>
      <c r="L3" s="5"/>
    </row>
    <row r="4" spans="1:20" s="3" customFormat="1" ht="15.95">
      <c r="A4" s="6" t="s">
        <v>4</v>
      </c>
      <c r="B4" s="287" t="s">
        <v>5</v>
      </c>
      <c r="C4" s="7"/>
      <c r="D4" s="2"/>
      <c r="H4" s="4"/>
      <c r="I4"/>
      <c r="J4"/>
      <c r="L4" s="5"/>
    </row>
    <row r="5" spans="1:20" s="3" customFormat="1" ht="17.100000000000001" thickBot="1">
      <c r="A5" s="6"/>
      <c r="B5" s="7"/>
      <c r="C5" s="7"/>
      <c r="D5" s="2"/>
      <c r="H5" s="4"/>
      <c r="I5"/>
      <c r="J5"/>
      <c r="L5" s="5"/>
    </row>
    <row r="6" spans="1:20" s="3" customFormat="1" ht="20.25" customHeight="1">
      <c r="B6" s="378"/>
      <c r="C6" s="379"/>
      <c r="D6" s="253" t="s">
        <v>6</v>
      </c>
      <c r="H6" s="4"/>
      <c r="I6"/>
      <c r="J6"/>
      <c r="L6" s="9"/>
    </row>
    <row r="7" spans="1:20" s="3" customFormat="1" ht="20.25" customHeight="1" thickBot="1">
      <c r="B7" s="380"/>
      <c r="C7" s="379"/>
      <c r="D7" s="254" t="s">
        <v>7</v>
      </c>
      <c r="F7" s="4"/>
      <c r="G7" s="4"/>
      <c r="H7"/>
    </row>
    <row r="8" spans="1:20" ht="15.95" thickBot="1"/>
    <row r="9" spans="1:20" ht="48" customHeight="1" thickBot="1">
      <c r="A9" s="94" t="s">
        <v>8</v>
      </c>
      <c r="B9" s="95" t="s">
        <v>9</v>
      </c>
      <c r="C9" s="95" t="s">
        <v>10</v>
      </c>
      <c r="D9" s="96" t="s">
        <v>11</v>
      </c>
      <c r="E9" s="94" t="s">
        <v>12</v>
      </c>
      <c r="F9" s="94" t="s">
        <v>13</v>
      </c>
      <c r="G9" s="94" t="s">
        <v>14</v>
      </c>
      <c r="H9" s="94" t="s">
        <v>15</v>
      </c>
      <c r="J9" s="226" t="s">
        <v>16</v>
      </c>
      <c r="K9" s="227" t="s">
        <v>17</v>
      </c>
      <c r="L9" s="227" t="s">
        <v>18</v>
      </c>
      <c r="M9" s="227" t="s">
        <v>19</v>
      </c>
      <c r="N9" s="227" t="s">
        <v>20</v>
      </c>
      <c r="O9" s="227" t="s">
        <v>21</v>
      </c>
      <c r="P9" s="227" t="s">
        <v>22</v>
      </c>
      <c r="Q9" s="228" t="s">
        <v>23</v>
      </c>
      <c r="S9" s="229" t="s">
        <v>24</v>
      </c>
      <c r="T9" s="230" t="s">
        <v>25</v>
      </c>
    </row>
    <row r="10" spans="1:20" ht="45.75" customHeight="1">
      <c r="A10" s="114" t="s">
        <v>26</v>
      </c>
      <c r="B10" s="18"/>
      <c r="C10" s="18" t="s">
        <v>27</v>
      </c>
      <c r="D10" s="251">
        <v>10</v>
      </c>
      <c r="E10" s="231">
        <f>IF(D10=K10,100,M10)</f>
        <v>100</v>
      </c>
      <c r="F10" s="117"/>
      <c r="G10" s="117"/>
      <c r="H10" s="18" t="s">
        <v>28</v>
      </c>
      <c r="J10" s="168" t="s">
        <v>29</v>
      </c>
      <c r="K10" s="123">
        <v>10</v>
      </c>
      <c r="L10" s="123">
        <v>20</v>
      </c>
      <c r="M10" s="232">
        <v>45</v>
      </c>
      <c r="N10" s="11"/>
      <c r="O10" s="11"/>
      <c r="P10" s="11"/>
      <c r="Q10" s="12"/>
      <c r="S10" s="152" t="s">
        <v>30</v>
      </c>
      <c r="T10" s="233" t="s">
        <v>31</v>
      </c>
    </row>
    <row r="11" spans="1:20" ht="45.75" customHeight="1">
      <c r="A11" s="114" t="s">
        <v>32</v>
      </c>
      <c r="B11" s="155" t="s">
        <v>33</v>
      </c>
      <c r="C11" s="155" t="s">
        <v>34</v>
      </c>
      <c r="D11" s="252">
        <v>0.5</v>
      </c>
      <c r="E11" s="376">
        <f>D11+D12*K11</f>
        <v>1.4</v>
      </c>
      <c r="F11" s="117"/>
      <c r="G11" s="117"/>
      <c r="H11" s="18" t="s">
        <v>35</v>
      </c>
      <c r="J11" s="19" t="s">
        <v>36</v>
      </c>
      <c r="K11" s="232">
        <v>0.9</v>
      </c>
      <c r="L11" s="11"/>
      <c r="M11" s="11"/>
      <c r="N11" s="11"/>
      <c r="O11" s="11"/>
      <c r="P11" s="11"/>
      <c r="Q11" s="12"/>
      <c r="S11" s="234" t="s">
        <v>37</v>
      </c>
      <c r="T11" s="235" t="s">
        <v>38</v>
      </c>
    </row>
    <row r="12" spans="1:20" ht="45.75" customHeight="1" thickBot="1">
      <c r="A12" s="114" t="s">
        <v>39</v>
      </c>
      <c r="B12" s="155" t="s">
        <v>40</v>
      </c>
      <c r="C12" s="155" t="s">
        <v>34</v>
      </c>
      <c r="D12" s="252">
        <v>1</v>
      </c>
      <c r="E12" s="376"/>
      <c r="F12" s="117"/>
      <c r="G12" s="117"/>
      <c r="H12" s="18" t="s">
        <v>41</v>
      </c>
      <c r="J12" s="19"/>
      <c r="K12" s="11"/>
      <c r="L12" s="181"/>
      <c r="M12" s="11"/>
      <c r="N12" s="315"/>
      <c r="O12" s="181"/>
      <c r="P12" s="11"/>
      <c r="Q12" s="236"/>
      <c r="S12" s="161"/>
      <c r="T12" s="237"/>
    </row>
    <row r="13" spans="1:20" ht="45.75" customHeight="1">
      <c r="A13" s="114" t="s">
        <v>42</v>
      </c>
      <c r="B13" s="155" t="s">
        <v>43</v>
      </c>
      <c r="C13" s="155" t="s">
        <v>34</v>
      </c>
      <c r="D13" s="238">
        <f>100-'Scorecard Part I'!D11-'Scorecard Part I'!D12*'Scorecard Part I'!K11</f>
        <v>98.6</v>
      </c>
      <c r="E13" s="315"/>
      <c r="F13" s="13" cm="1">
        <f t="array" ref="F13">ROUND(IF(AND(_xlfn.IFS(E11&lt;=K13,100-E11*L13,E11&lt;=M13,100-(K13*L13)-(E11-K13)*N13,AND(E11&gt;=M13,(100-(K13*L13)-(M13-K13)*N13-(E11-M13)*O13)&gt;=-100),100-(K13*L13)-(M13-K13)*N13-(E11-M13)*O13,E11&gt;=M13,-100)&gt;M10,E10=M10),45,_xlfn.IFS(E11&lt;=K13,100-E11*L13,E11&lt;=M13,100-(K13*L13)-(E11-K13)*N13,AND(E11&gt;=M13,(100-(K13*L13)-(M13-K13)*N13-(E11-M13)*O13)&gt;=-100),100-(K13*L13)-(M13-K13)*N13-(E11-M13)*O13,E11&gt;=M13,-100)),0)</f>
        <v>97</v>
      </c>
      <c r="G13" s="13" t="s">
        <v>44</v>
      </c>
      <c r="H13" s="18" t="s">
        <v>45</v>
      </c>
      <c r="J13" s="19" t="s">
        <v>46</v>
      </c>
      <c r="K13" s="123">
        <v>5</v>
      </c>
      <c r="L13" s="239">
        <v>2</v>
      </c>
      <c r="M13" s="123">
        <v>15</v>
      </c>
      <c r="N13" s="240">
        <v>4.5</v>
      </c>
      <c r="O13" s="239">
        <v>9</v>
      </c>
      <c r="P13" s="11"/>
      <c r="Q13" s="236"/>
      <c r="S13" s="152" t="s">
        <v>47</v>
      </c>
      <c r="T13" s="233" t="s">
        <v>48</v>
      </c>
    </row>
    <row r="14" spans="1:20" ht="78.75" customHeight="1">
      <c r="A14" s="114" t="s">
        <v>49</v>
      </c>
      <c r="B14" s="155" t="s">
        <v>50</v>
      </c>
      <c r="C14" s="155" t="s">
        <v>51</v>
      </c>
      <c r="D14" s="251">
        <v>52</v>
      </c>
      <c r="E14" s="181">
        <f>D14</f>
        <v>52</v>
      </c>
      <c r="F14" s="13" cm="1">
        <f t="array" ref="F14">ROUND(IF(_xlfn.IFS(E14&lt;=K14,-E14*L14,E14&lt;=M14,-(K14*L14)-(E14-K14)*N14,AND(E14&gt;=M14,(-(K14*L14)-(M14-K14)*N14-(E14-M14)*O14)&gt;=-100),-(K14*L14)-(M14-K14)*N14-(E14-M14)*O14,E14&gt;=M14,-(K14*L14)-(M14-K14)*N14-(E14-M14)*O14)&gt;=-200,_xlfn.IFS(E14&lt;=K14,-E14*L14,E14&lt;=M14,-(K14*L14)-(E14-K14)*N14,AND(E14&gt;=M14,(-(K14*L14)-(M14-K14)*N14-(E14-M14)*O14)&gt;=-100),-(K14*L14)-(M14-K14)*N14-(E14-M14)*O14,E14&gt;=M14,-(K14*L14)-(M14-K14)*N14-(E14-M14)*O14),-200),0)</f>
        <v>-4</v>
      </c>
      <c r="G14" s="13" t="s">
        <v>52</v>
      </c>
      <c r="H14" s="18" t="s">
        <v>53</v>
      </c>
      <c r="J14" s="19" t="s">
        <v>54</v>
      </c>
      <c r="K14" s="123">
        <v>50</v>
      </c>
      <c r="L14" s="241">
        <f>L32</f>
        <v>0.05</v>
      </c>
      <c r="M14" s="123">
        <v>150</v>
      </c>
      <c r="N14" s="241">
        <f>L33</f>
        <v>0.52500000000000002</v>
      </c>
      <c r="O14" s="241">
        <f>L34</f>
        <v>0.9</v>
      </c>
      <c r="P14" s="11"/>
      <c r="Q14" s="236"/>
      <c r="S14" s="19" t="s">
        <v>55</v>
      </c>
      <c r="T14" s="242" t="s">
        <v>56</v>
      </c>
    </row>
    <row r="15" spans="1:20" ht="45.75" customHeight="1">
      <c r="A15" s="114" t="s">
        <v>57</v>
      </c>
      <c r="B15" s="155" t="s">
        <v>58</v>
      </c>
      <c r="C15" s="155" t="s">
        <v>59</v>
      </c>
      <c r="D15" s="251">
        <v>1</v>
      </c>
      <c r="E15" s="11">
        <f>D15</f>
        <v>1</v>
      </c>
      <c r="F15" s="13">
        <f t="array" ref="F15">_xlfn.IFS(D15=1,K15,D15=2,L15,D15=3,M15)</f>
        <v>0</v>
      </c>
      <c r="G15" s="13" t="s">
        <v>60</v>
      </c>
      <c r="H15" s="18" t="s">
        <v>61</v>
      </c>
      <c r="J15" s="168" t="s">
        <v>57</v>
      </c>
      <c r="K15" s="125">
        <v>0</v>
      </c>
      <c r="L15" s="125">
        <v>0</v>
      </c>
      <c r="M15" s="125" t="s">
        <v>62</v>
      </c>
      <c r="N15" s="126"/>
      <c r="O15" s="126"/>
      <c r="P15" s="126"/>
      <c r="Q15" s="12"/>
      <c r="S15" s="19" t="s">
        <v>63</v>
      </c>
      <c r="T15" s="242" t="s">
        <v>64</v>
      </c>
    </row>
    <row r="16" spans="1:20" ht="45.75" customHeight="1">
      <c r="A16" s="114" t="s">
        <v>65</v>
      </c>
      <c r="B16" s="155" t="s">
        <v>66</v>
      </c>
      <c r="C16" s="155" t="s">
        <v>67</v>
      </c>
      <c r="D16" s="251">
        <v>1</v>
      </c>
      <c r="E16" s="11">
        <f>D16</f>
        <v>1</v>
      </c>
      <c r="F16" s="13">
        <f t="array" ref="F16">_xlfn.IFS(E16=1,K16,E16=2,L16,E16=3,M16,E16=4,N16)</f>
        <v>0</v>
      </c>
      <c r="G16" s="13" t="s">
        <v>68</v>
      </c>
      <c r="H16" s="18" t="s">
        <v>69</v>
      </c>
      <c r="J16" s="190" t="s">
        <v>65</v>
      </c>
      <c r="K16" s="193">
        <v>0</v>
      </c>
      <c r="L16" s="193">
        <v>-5</v>
      </c>
      <c r="M16" s="193">
        <v>-15</v>
      </c>
      <c r="N16" s="193">
        <v>-30</v>
      </c>
      <c r="O16" s="243"/>
      <c r="P16" s="243"/>
      <c r="Q16" s="147"/>
      <c r="S16" s="19" t="s">
        <v>70</v>
      </c>
      <c r="T16" s="242" t="s">
        <v>71</v>
      </c>
    </row>
    <row r="17" spans="1:20" ht="177.75" customHeight="1">
      <c r="A17" s="15" t="s">
        <v>72</v>
      </c>
      <c r="B17" s="318"/>
      <c r="C17" s="274"/>
      <c r="D17" s="377" t="str">
        <f>_xlfn.CONCAT(IF(OR(F17&lt;0,ISTEXT(F17)),T11,T10))</f>
        <v>Technically recyclable in a paper mill with conventional process.</v>
      </c>
      <c r="E17" s="377"/>
      <c r="F17" s="244">
        <f>IF(AND(ISNUMBER(F15)),IF(SUM(F13:F16)&gt;=-100,SUM(F13:F16),-100),"Knockout")</f>
        <v>93</v>
      </c>
      <c r="G17" s="69" t="s">
        <v>73</v>
      </c>
      <c r="H17" s="245" t="str">
        <f>_xlfn.CONCAT(CHAR(10),_xlfn.IFS(F13&gt;=90,T13,F13&gt;=70,T14,F13&gt;=50,T15,F13&gt;=0,T16,F13&lt;0,T17),CHAR(10),_xlfn.IFS(E16=1,T22,E16=2,T23,E16=3,T24,E16=4,T25),CHAR(10),_xlfn.IFS(E15=1,T26,E15=2,T27,E15=3,T28),CHAR(10),_xlfn.IFS(F14&gt;=-3,T18,F14&gt;=-45,T19,F14&gt;=-100,T20))</f>
        <v xml:space="preserve">
The packaging creates a high screening yield in a recycling mill with conventional process and is therefore considered Best in Class.
Poses no visual quality issues.
Poses no adhesion issues.
DCS expected to have minor issues in the process of a recycling mill with conventional process.</v>
      </c>
      <c r="J17" s="270" t="s">
        <v>74</v>
      </c>
      <c r="K17" s="271" t="s">
        <v>75</v>
      </c>
      <c r="L17" s="272" t="s">
        <v>76</v>
      </c>
      <c r="M17" s="273" t="s">
        <v>77</v>
      </c>
      <c r="S17" s="258" t="s">
        <v>78</v>
      </c>
      <c r="T17" s="235" t="s">
        <v>79</v>
      </c>
    </row>
    <row r="18" spans="1:20" ht="47.25" customHeight="1">
      <c r="S18" s="247" t="s">
        <v>80</v>
      </c>
      <c r="T18" s="233" t="s">
        <v>81</v>
      </c>
    </row>
    <row r="19" spans="1:20" ht="76.5" customHeight="1" thickBot="1">
      <c r="A19" s="359" t="s">
        <v>82</v>
      </c>
      <c r="B19" s="359"/>
      <c r="C19" s="359"/>
      <c r="D19" s="359"/>
      <c r="E19" s="359"/>
      <c r="F19" s="359"/>
      <c r="G19" s="359"/>
      <c r="H19" s="359"/>
      <c r="S19" s="19" t="s">
        <v>83</v>
      </c>
      <c r="T19" s="242" t="s">
        <v>84</v>
      </c>
    </row>
    <row r="20" spans="1:20" ht="46.5" customHeight="1">
      <c r="A20" s="94" t="s">
        <v>8</v>
      </c>
      <c r="B20" s="95" t="s">
        <v>9</v>
      </c>
      <c r="C20" s="95" t="s">
        <v>10</v>
      </c>
      <c r="D20" s="96" t="s">
        <v>11</v>
      </c>
      <c r="E20" s="94" t="s">
        <v>12</v>
      </c>
      <c r="F20" s="94" t="s">
        <v>13</v>
      </c>
      <c r="G20" s="94" t="s">
        <v>14</v>
      </c>
      <c r="H20" s="94" t="s">
        <v>15</v>
      </c>
      <c r="J20" s="226" t="s">
        <v>16</v>
      </c>
      <c r="K20" s="227" t="s">
        <v>17</v>
      </c>
      <c r="L20" s="227" t="s">
        <v>18</v>
      </c>
      <c r="M20" s="227" t="s">
        <v>19</v>
      </c>
      <c r="N20" s="227" t="s">
        <v>20</v>
      </c>
      <c r="O20" s="227" t="s">
        <v>21</v>
      </c>
      <c r="P20" s="227" t="s">
        <v>22</v>
      </c>
      <c r="Q20" s="228" t="s">
        <v>23</v>
      </c>
      <c r="S20" s="19" t="s">
        <v>85</v>
      </c>
      <c r="T20" s="242" t="s">
        <v>86</v>
      </c>
    </row>
    <row r="21" spans="1:20" ht="32.1">
      <c r="A21" s="114" t="s">
        <v>87</v>
      </c>
      <c r="B21" s="155" t="s">
        <v>88</v>
      </c>
      <c r="C21" s="155" t="s">
        <v>89</v>
      </c>
      <c r="D21" s="251">
        <v>50000</v>
      </c>
      <c r="E21" s="181">
        <f>D21</f>
        <v>50000</v>
      </c>
      <c r="F21" s="13">
        <f>_xlfn.IFS(E21&lt;=K21,0,E21&lt;=L21,M21*(LOG10(E21/K21))/(LOG10(L21/K21)),E21&gt;L21,N21)</f>
        <v>-40</v>
      </c>
      <c r="G21" s="13" t="s">
        <v>90</v>
      </c>
      <c r="H21" s="18" t="s">
        <v>91</v>
      </c>
      <c r="J21" s="19" t="s">
        <v>92</v>
      </c>
      <c r="K21" s="11">
        <v>10000</v>
      </c>
      <c r="L21" s="181">
        <v>50000</v>
      </c>
      <c r="M21" s="11">
        <v>-40</v>
      </c>
      <c r="N21" s="315">
        <v>-40</v>
      </c>
      <c r="O21" s="181"/>
      <c r="P21" s="11"/>
      <c r="Q21" s="236"/>
      <c r="S21" s="22" t="s">
        <v>93</v>
      </c>
      <c r="T21" s="246" t="s">
        <v>94</v>
      </c>
    </row>
    <row r="22" spans="1:20" ht="47.25" customHeight="1">
      <c r="S22" s="47" t="s">
        <v>95</v>
      </c>
      <c r="T22" s="237" t="s">
        <v>96</v>
      </c>
    </row>
    <row r="23" spans="1:20" ht="47.25" customHeight="1">
      <c r="S23" s="19" t="s">
        <v>97</v>
      </c>
      <c r="T23" s="242" t="s">
        <v>98</v>
      </c>
    </row>
    <row r="24" spans="1:20" ht="15.95">
      <c r="S24" s="19" t="s">
        <v>99</v>
      </c>
      <c r="T24" s="242" t="s">
        <v>100</v>
      </c>
    </row>
    <row r="25" spans="1:20" ht="17.100000000000001" thickBot="1">
      <c r="S25" s="22" t="s">
        <v>101</v>
      </c>
      <c r="T25" s="246" t="s">
        <v>102</v>
      </c>
    </row>
    <row r="26" spans="1:20" ht="15.95">
      <c r="S26" s="247" t="s">
        <v>103</v>
      </c>
      <c r="T26" s="233" t="s">
        <v>104</v>
      </c>
    </row>
    <row r="27" spans="1:20" ht="15.95">
      <c r="S27" s="19" t="s">
        <v>105</v>
      </c>
      <c r="T27" s="242" t="s">
        <v>106</v>
      </c>
    </row>
    <row r="28" spans="1:20" ht="33" thickBot="1">
      <c r="S28" s="22" t="s">
        <v>107</v>
      </c>
      <c r="T28" s="246" t="s">
        <v>108</v>
      </c>
    </row>
    <row r="30" spans="1:20">
      <c r="J30" s="23" t="s">
        <v>109</v>
      </c>
      <c r="K30" s="23" t="s">
        <v>110</v>
      </c>
      <c r="L30" s="23" t="s">
        <v>111</v>
      </c>
    </row>
    <row r="31" spans="1:20">
      <c r="J31" s="23">
        <v>0</v>
      </c>
      <c r="K31" s="23">
        <v>0</v>
      </c>
      <c r="L31" s="23"/>
    </row>
    <row r="32" spans="1:20">
      <c r="J32" s="24">
        <f>K14</f>
        <v>50</v>
      </c>
      <c r="K32" s="248">
        <v>-2.5</v>
      </c>
      <c r="L32" s="249">
        <f>-(K32-K31)/(J32-J31)</f>
        <v>0.05</v>
      </c>
    </row>
    <row r="33" spans="8:12">
      <c r="J33" s="24">
        <f>M14</f>
        <v>150</v>
      </c>
      <c r="K33" s="250">
        <v>-55</v>
      </c>
      <c r="L33" s="249">
        <f t="shared" ref="L33:L34" si="0">-(K33-K32)/(J33-J32)</f>
        <v>0.52500000000000002</v>
      </c>
    </row>
    <row r="34" spans="8:12">
      <c r="J34" s="250">
        <v>200</v>
      </c>
      <c r="K34" s="250">
        <v>-100</v>
      </c>
      <c r="L34" s="249">
        <f t="shared" si="0"/>
        <v>0.9</v>
      </c>
    </row>
    <row r="38" spans="8:12">
      <c r="H38" s="23"/>
      <c r="I38" s="23"/>
    </row>
    <row r="39" spans="8:12">
      <c r="H39" s="23"/>
      <c r="I39" s="23"/>
    </row>
    <row r="40" spans="8:12">
      <c r="H40" s="23"/>
      <c r="I40" s="23"/>
    </row>
    <row r="41" spans="8:12">
      <c r="H41" s="23"/>
      <c r="I41" s="23"/>
    </row>
    <row r="42" spans="8:12">
      <c r="H42" s="23"/>
      <c r="I42" s="23"/>
    </row>
    <row r="43" spans="8:12">
      <c r="H43" s="23"/>
      <c r="I43" s="23"/>
    </row>
    <row r="44" spans="8:12">
      <c r="H44" s="23"/>
      <c r="I44" s="23"/>
    </row>
    <row r="45" spans="8:12">
      <c r="H45" s="23"/>
      <c r="I45" s="23"/>
    </row>
    <row r="46" spans="8:12">
      <c r="H46" s="23"/>
      <c r="I46" s="23"/>
    </row>
    <row r="47" spans="8:12">
      <c r="H47" s="23"/>
      <c r="I47" s="23"/>
    </row>
    <row r="48" spans="8:12">
      <c r="H48" s="23"/>
      <c r="I48" s="23"/>
    </row>
    <row r="49" spans="8:9">
      <c r="H49" s="23"/>
      <c r="I49" s="23"/>
    </row>
    <row r="50" spans="8:9">
      <c r="H50" s="23"/>
      <c r="I50" s="23"/>
    </row>
    <row r="51" spans="8:9">
      <c r="H51" s="23"/>
      <c r="I51" s="23"/>
    </row>
    <row r="52" spans="8:9">
      <c r="H52" s="23"/>
      <c r="I52" s="23"/>
    </row>
    <row r="53" spans="8:9">
      <c r="H53" s="23"/>
      <c r="I53" s="23"/>
    </row>
  </sheetData>
  <sheetProtection algorithmName="SHA-512" hashValue="28FLaupkRLoM1Lg+T196KvHqZTb3FczF6r3k9Zlrwyq1+rXZkshnuxI8IGr6P+Uz5RUanEImTYTJrbG/nZQ3hA==" saltValue="2Qgw83i/wpwSNBzdiD0j0g==" spinCount="100000" sheet="1" objects="1" scenarios="1"/>
  <mergeCells count="4">
    <mergeCell ref="E11:E12"/>
    <mergeCell ref="D17:E17"/>
    <mergeCell ref="B6:C7"/>
    <mergeCell ref="A19:H19"/>
  </mergeCells>
  <conditionalFormatting sqref="D17:E17">
    <cfRule type="expression" dxfId="27" priority="1">
      <formula>ISTEXT($F$17)</formula>
    </cfRule>
    <cfRule type="expression" dxfId="26" priority="2">
      <formula>$F$17&lt;0</formula>
    </cfRule>
    <cfRule type="expression" dxfId="25" priority="3">
      <formula>$F$17&gt;=0</formula>
    </cfRule>
  </conditionalFormatting>
  <dataValidations count="4">
    <dataValidation type="decimal" allowBlank="1" showInputMessage="1" showErrorMessage="1" prompt="Input as percentage (0-100)" sqref="D11:D13" xr:uid="{F7D7DA73-3051-4122-9CEF-D636FC4D6D6D}">
      <formula1>0</formula1>
      <formula2>100</formula2>
    </dataValidation>
    <dataValidation type="list" allowBlank="1" showInputMessage="1" showErrorMessage="1" error="Please enter a valid level (1-3)_x000a_" sqref="D16" xr:uid="{37431032-74C9-4E43-B029-A7B23E8403F0}">
      <formula1>"enter level,1,2,3,4"</formula1>
    </dataValidation>
    <dataValidation type="list" allowBlank="1" showInputMessage="1" showErrorMessage="1" error="Please enter a valid level (1-3)_x000a_" sqref="D15" xr:uid="{FF8D7937-3CB7-4005-9F98-C4B2E46C9AC9}">
      <formula1>"enter level,1,2,3"</formula1>
    </dataValidation>
    <dataValidation type="list" allowBlank="1" showInputMessage="1" showErrorMessage="1" sqref="D10" xr:uid="{CD24A7DD-7D37-4BB1-AA7B-3DC49FF35C00}">
      <formula1>"10,20"</formula1>
    </dataValidation>
  </dataValidations>
  <pageMargins left="0.25" right="0.25" top="0.75" bottom="0.75" header="0.3" footer="0.3"/>
  <pageSetup paperSize="9" scale="44" orientation="landscape" r:id="rId1"/>
  <headerFooter>
    <oddFooter>&amp;R_x000D_&amp;1#&amp;"Aptos"&amp;8&amp;K737373 General</oddFooter>
  </headerFooter>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12585-9403-4441-A897-606A2269CFEA}">
  <sheetPr codeName="Tabelle17">
    <tabColor rgb="FF92D050"/>
    <pageSetUpPr fitToPage="1"/>
  </sheetPr>
  <dimension ref="A1:AW59"/>
  <sheetViews>
    <sheetView showGridLines="0" topLeftCell="A27" zoomScale="85" zoomScaleNormal="85" workbookViewId="0">
      <selection activeCell="D31" sqref="D31"/>
    </sheetView>
  </sheetViews>
  <sheetFormatPr defaultColWidth="8.85546875" defaultRowHeight="15" outlineLevelRow="1" outlineLevelCol="1"/>
  <cols>
    <col min="2" max="2" width="28.42578125" customWidth="1"/>
    <col min="3" max="4" width="17.140625" customWidth="1"/>
    <col min="5" max="5" width="37.7109375" customWidth="1"/>
    <col min="6" max="7" width="23.140625" hidden="1" customWidth="1" outlineLevel="1"/>
    <col min="8" max="8" width="15.85546875" customWidth="1" collapsed="1"/>
    <col min="9" max="9" width="16.28515625" hidden="1" customWidth="1"/>
    <col min="10" max="10" width="22.7109375" customWidth="1"/>
    <col min="11" max="11" width="42.7109375" customWidth="1"/>
    <col min="12" max="12" width="80.7109375" customWidth="1"/>
    <col min="13" max="13" width="4" hidden="1" customWidth="1" outlineLevel="1"/>
    <col min="14" max="14" width="41.28515625" hidden="1" customWidth="1" outlineLevel="1"/>
    <col min="15" max="19" width="16" hidden="1" customWidth="1" outlineLevel="1"/>
    <col min="20" max="20" width="43.85546875" hidden="1" customWidth="1" outlineLevel="1"/>
    <col min="21" max="21" width="13" hidden="1" customWidth="1" outlineLevel="1"/>
    <col min="22" max="22" width="16.28515625" hidden="1" customWidth="1" outlineLevel="1"/>
    <col min="23" max="23" width="8.85546875" collapsed="1"/>
    <col min="35" max="35" width="12.140625" bestFit="1" customWidth="1"/>
    <col min="37" max="37" width="12.140625" bestFit="1" customWidth="1"/>
    <col min="38" max="38" width="37.7109375" hidden="1" customWidth="1" outlineLevel="1"/>
    <col min="39" max="39" width="92.28515625" hidden="1" customWidth="1" outlineLevel="1"/>
    <col min="40" max="48" width="0" hidden="1" customWidth="1" outlineLevel="1"/>
    <col min="49" max="49" width="8.85546875" collapsed="1"/>
  </cols>
  <sheetData>
    <row r="1" spans="1:46" s="3" customFormat="1" ht="21" thickBot="1">
      <c r="A1" s="1" t="s">
        <v>112</v>
      </c>
      <c r="B1" s="2"/>
      <c r="C1" s="2"/>
      <c r="D1" s="2"/>
      <c r="E1" s="2"/>
      <c r="I1" s="4"/>
      <c r="J1"/>
      <c r="K1"/>
      <c r="M1" s="5"/>
    </row>
    <row r="2" spans="1:46" s="3" customFormat="1" ht="17.25" customHeight="1" thickBot="1">
      <c r="A2" s="6" t="s">
        <v>1</v>
      </c>
      <c r="C2" s="6" t="s">
        <v>2</v>
      </c>
      <c r="D2" s="7"/>
      <c r="E2" s="2"/>
      <c r="I2" s="4"/>
      <c r="J2"/>
      <c r="K2"/>
      <c r="M2" s="5"/>
      <c r="AL2" s="311" t="s">
        <v>113</v>
      </c>
      <c r="AM2" s="312" t="s">
        <v>114</v>
      </c>
    </row>
    <row r="3" spans="1:46" s="3" customFormat="1" ht="17.25" customHeight="1" thickBot="1">
      <c r="A3" s="6" t="s">
        <v>3</v>
      </c>
      <c r="C3" s="8">
        <v>46199</v>
      </c>
      <c r="D3" s="7"/>
      <c r="E3" s="2"/>
      <c r="I3" s="4"/>
      <c r="J3"/>
      <c r="K3"/>
      <c r="M3" s="5"/>
      <c r="AL3" s="317" t="s">
        <v>115</v>
      </c>
      <c r="AM3" s="313" t="s">
        <v>116</v>
      </c>
    </row>
    <row r="4" spans="1:46" s="3" customFormat="1" ht="17.25" customHeight="1">
      <c r="A4" s="6" t="s">
        <v>4</v>
      </c>
      <c r="B4" s="7"/>
      <c r="C4" s="287" t="s">
        <v>117</v>
      </c>
      <c r="D4" s="7"/>
      <c r="E4" s="2"/>
      <c r="I4" s="4"/>
      <c r="J4"/>
      <c r="K4"/>
      <c r="M4" s="5"/>
      <c r="AL4" s="363" t="s">
        <v>118</v>
      </c>
      <c r="AM4" s="314" t="s">
        <v>119</v>
      </c>
    </row>
    <row r="5" spans="1:46" s="3" customFormat="1" ht="15.95" thickBot="1">
      <c r="A5" s="7"/>
      <c r="B5" s="7"/>
      <c r="C5" s="7"/>
      <c r="D5" s="7"/>
      <c r="E5" s="7"/>
      <c r="I5" s="4"/>
      <c r="J5"/>
      <c r="K5"/>
      <c r="M5" s="5"/>
      <c r="AL5" s="364"/>
      <c r="AM5" s="313" t="s">
        <v>120</v>
      </c>
    </row>
    <row r="6" spans="1:46" s="3" customFormat="1" ht="20.25" customHeight="1">
      <c r="A6" s="7"/>
      <c r="B6" s="7"/>
      <c r="C6" s="7"/>
      <c r="D6" s="7"/>
      <c r="E6" s="253" t="s">
        <v>6</v>
      </c>
      <c r="I6" s="4"/>
      <c r="J6"/>
      <c r="K6"/>
      <c r="M6" s="9"/>
    </row>
    <row r="7" spans="1:46" s="3" customFormat="1" ht="20.25" customHeight="1" thickBot="1">
      <c r="A7" s="7"/>
      <c r="B7" s="7"/>
      <c r="C7" s="7"/>
      <c r="D7" s="7"/>
      <c r="E7" s="254" t="s">
        <v>7</v>
      </c>
      <c r="H7" s="4"/>
      <c r="I7"/>
    </row>
    <row r="8" spans="1:46" s="3" customFormat="1" ht="20.25" customHeight="1" thickBot="1">
      <c r="A8"/>
      <c r="B8"/>
      <c r="C8"/>
      <c r="D8"/>
      <c r="I8" s="4"/>
      <c r="J8"/>
      <c r="K8"/>
    </row>
    <row r="9" spans="1:46" ht="48" customHeight="1">
      <c r="B9" s="94" t="s">
        <v>8</v>
      </c>
      <c r="C9" s="95" t="s">
        <v>9</v>
      </c>
      <c r="D9" s="95" t="s">
        <v>10</v>
      </c>
      <c r="E9" s="96" t="s">
        <v>11</v>
      </c>
      <c r="F9" s="96" t="s">
        <v>121</v>
      </c>
      <c r="G9" s="96" t="s">
        <v>10</v>
      </c>
      <c r="H9" s="96" t="s">
        <v>12</v>
      </c>
      <c r="I9" s="97" t="s">
        <v>122</v>
      </c>
      <c r="J9" s="97" t="s">
        <v>13</v>
      </c>
      <c r="K9" s="97" t="s">
        <v>14</v>
      </c>
      <c r="L9" s="96" t="s">
        <v>15</v>
      </c>
      <c r="N9" s="98" t="s">
        <v>16</v>
      </c>
      <c r="O9" s="99" t="s">
        <v>17</v>
      </c>
      <c r="P9" s="99" t="s">
        <v>18</v>
      </c>
      <c r="Q9" s="99" t="s">
        <v>19</v>
      </c>
      <c r="R9" s="99" t="s">
        <v>20</v>
      </c>
      <c r="S9" s="99" t="s">
        <v>21</v>
      </c>
      <c r="T9" s="100" t="s">
        <v>23</v>
      </c>
      <c r="U9" s="101" t="s">
        <v>123</v>
      </c>
      <c r="V9" s="102" t="s">
        <v>124</v>
      </c>
      <c r="W9" s="103"/>
      <c r="AL9" s="360" t="s">
        <v>125</v>
      </c>
      <c r="AM9" s="361"/>
      <c r="AN9" s="361"/>
      <c r="AO9" s="361"/>
      <c r="AP9" s="361"/>
      <c r="AQ9" s="361"/>
      <c r="AR9" s="361"/>
      <c r="AS9" s="361"/>
      <c r="AT9" s="362"/>
    </row>
    <row r="10" spans="1:46" ht="39" customHeight="1">
      <c r="A10" s="372" t="s">
        <v>125</v>
      </c>
      <c r="B10" s="104" t="s">
        <v>32</v>
      </c>
      <c r="C10" s="105" t="s">
        <v>33</v>
      </c>
      <c r="D10" s="105" t="s">
        <v>34</v>
      </c>
      <c r="E10" s="220">
        <v>1</v>
      </c>
      <c r="F10" s="106" t="s">
        <v>126</v>
      </c>
      <c r="G10" s="107" t="s">
        <v>34</v>
      </c>
      <c r="H10" s="108">
        <f>E10</f>
        <v>1</v>
      </c>
      <c r="I10" s="109"/>
      <c r="J10" s="110"/>
      <c r="K10" s="110"/>
      <c r="L10" s="111" t="s">
        <v>35</v>
      </c>
      <c r="N10" s="112" t="str">
        <f t="shared" ref="N10:N26" si="0">B10</f>
        <v>Coarse reject</v>
      </c>
      <c r="O10" s="106">
        <v>1</v>
      </c>
      <c r="P10" s="106"/>
      <c r="Q10" s="106"/>
      <c r="R10" s="106"/>
      <c r="S10" s="106"/>
      <c r="T10" s="10"/>
      <c r="U10" s="113">
        <f>J10*$R$25/100</f>
        <v>0</v>
      </c>
      <c r="V10" s="103">
        <f>IF($J$27&lt;0,IF(U10&lt;0,U10,0),U10)</f>
        <v>0</v>
      </c>
      <c r="W10" s="103"/>
      <c r="AL10" s="360" t="s">
        <v>127</v>
      </c>
      <c r="AM10" s="362"/>
      <c r="AN10" s="360" t="s">
        <v>128</v>
      </c>
      <c r="AO10" s="361"/>
      <c r="AP10" s="362"/>
      <c r="AQ10" s="360" t="s">
        <v>129</v>
      </c>
      <c r="AR10" s="362"/>
      <c r="AS10" s="360" t="s">
        <v>130</v>
      </c>
      <c r="AT10" s="362"/>
    </row>
    <row r="11" spans="1:46" ht="39" customHeight="1">
      <c r="A11" s="373"/>
      <c r="B11" s="114" t="s">
        <v>39</v>
      </c>
      <c r="C11" s="18" t="s">
        <v>40</v>
      </c>
      <c r="D11" s="18" t="s">
        <v>34</v>
      </c>
      <c r="E11" s="221">
        <v>5</v>
      </c>
      <c r="F11" s="11" t="s">
        <v>126</v>
      </c>
      <c r="G11" s="107" t="s">
        <v>34</v>
      </c>
      <c r="H11" s="115">
        <f>E11</f>
        <v>5</v>
      </c>
      <c r="I11" s="116"/>
      <c r="J11" s="117"/>
      <c r="K11" s="117"/>
      <c r="L11" s="118" t="s">
        <v>41</v>
      </c>
      <c r="N11" s="119" t="str">
        <f t="shared" si="0"/>
        <v>Fine reject</v>
      </c>
      <c r="O11" s="11">
        <v>0.9</v>
      </c>
      <c r="P11" s="315"/>
      <c r="Q11" s="315"/>
      <c r="R11" s="315"/>
      <c r="S11" s="315"/>
      <c r="T11" s="12"/>
      <c r="U11" s="113">
        <f>J11*$R$25/100</f>
        <v>0</v>
      </c>
      <c r="V11" s="103">
        <f t="shared" ref="V11:V24" si="1">IF($J$27&lt;0,IF(U11&lt;0,U11,0),U11)</f>
        <v>0</v>
      </c>
      <c r="W11" s="103"/>
      <c r="AL11" s="299" t="s">
        <v>77</v>
      </c>
      <c r="AM11" s="300" t="s">
        <v>25</v>
      </c>
      <c r="AN11" s="300" t="s">
        <v>131</v>
      </c>
      <c r="AO11" s="300" t="s">
        <v>77</v>
      </c>
      <c r="AP11" s="300" t="s">
        <v>25</v>
      </c>
      <c r="AQ11" s="300" t="s">
        <v>77</v>
      </c>
      <c r="AR11" s="300" t="s">
        <v>132</v>
      </c>
      <c r="AS11" s="300" t="s">
        <v>77</v>
      </c>
      <c r="AT11" s="300" t="s">
        <v>25</v>
      </c>
    </row>
    <row r="12" spans="1:46" ht="39" customHeight="1">
      <c r="A12" s="373"/>
      <c r="B12" s="114" t="s">
        <v>42</v>
      </c>
      <c r="C12" s="18" t="s">
        <v>43</v>
      </c>
      <c r="D12" s="18" t="s">
        <v>34</v>
      </c>
      <c r="E12" s="120">
        <f>100-E10*O10-E11*O11</f>
        <v>94.5</v>
      </c>
      <c r="G12" s="107" t="s">
        <v>34</v>
      </c>
      <c r="H12" s="121"/>
      <c r="I12" s="116">
        <f>(E12-O12)/(P12-O12)*Q12</f>
        <v>39.583333333333329</v>
      </c>
      <c r="J12" s="13">
        <f>ROUND(IF(I12&gt;Q12,Q12,IF(I12&lt;-Q12,-Q12,I12)),0)</f>
        <v>40</v>
      </c>
      <c r="K12" s="122" t="s">
        <v>133</v>
      </c>
      <c r="L12" s="118" t="s">
        <v>134</v>
      </c>
      <c r="N12" s="119" t="str">
        <f t="shared" si="0"/>
        <v>Total screening yield</v>
      </c>
      <c r="O12" s="123">
        <v>85</v>
      </c>
      <c r="P12" s="124">
        <v>97</v>
      </c>
      <c r="Q12" s="125">
        <v>50</v>
      </c>
      <c r="R12" s="126"/>
      <c r="S12" s="126"/>
      <c r="T12" s="12"/>
      <c r="U12" s="113">
        <f t="shared" ref="U12:U16" si="2">J12*$R$25/100</f>
        <v>20</v>
      </c>
      <c r="V12" s="103">
        <f t="shared" si="1"/>
        <v>20</v>
      </c>
      <c r="W12" s="103"/>
      <c r="AL12" s="301">
        <v>40</v>
      </c>
      <c r="AM12" s="302" t="s">
        <v>135</v>
      </c>
      <c r="AN12" s="303">
        <v>1</v>
      </c>
      <c r="AO12" s="303">
        <v>30</v>
      </c>
      <c r="AP12" s="302" t="s">
        <v>104</v>
      </c>
      <c r="AQ12" s="303">
        <v>10</v>
      </c>
      <c r="AR12" s="302" t="s">
        <v>136</v>
      </c>
      <c r="AS12" s="303">
        <v>10</v>
      </c>
      <c r="AT12" s="302" t="s">
        <v>137</v>
      </c>
    </row>
    <row r="13" spans="1:46" ht="54.75" customHeight="1">
      <c r="A13" s="373"/>
      <c r="B13" s="114" t="s">
        <v>138</v>
      </c>
      <c r="C13" s="18" t="s">
        <v>139</v>
      </c>
      <c r="D13" s="18" t="s">
        <v>51</v>
      </c>
      <c r="E13" s="221">
        <v>50</v>
      </c>
      <c r="F13" s="11" t="s">
        <v>126</v>
      </c>
      <c r="G13" s="127" t="s">
        <v>51</v>
      </c>
      <c r="H13" s="128">
        <f>E13</f>
        <v>50</v>
      </c>
      <c r="I13" s="116">
        <f>(E13-O13)/(P13-O13)*Q13</f>
        <v>2.8571428571428568</v>
      </c>
      <c r="J13" s="13">
        <f t="shared" ref="J13:J24" si="3">ROUND(IF(I13&gt;Q13,Q13,IF(I13&lt;-Q13,-Q13,I13)),0)</f>
        <v>3</v>
      </c>
      <c r="K13" s="122" t="s">
        <v>140</v>
      </c>
      <c r="L13" s="118" t="s">
        <v>141</v>
      </c>
      <c r="N13" s="119" t="str">
        <f t="shared" si="0"/>
        <v>COD value</v>
      </c>
      <c r="O13" s="123">
        <v>60</v>
      </c>
      <c r="P13" s="124">
        <v>25</v>
      </c>
      <c r="Q13" s="125">
        <v>10</v>
      </c>
      <c r="R13" s="11"/>
      <c r="S13" s="11"/>
      <c r="T13" s="129"/>
      <c r="U13" s="113">
        <f t="shared" si="2"/>
        <v>1.5</v>
      </c>
      <c r="V13" s="103">
        <f t="shared" si="1"/>
        <v>1.5</v>
      </c>
      <c r="W13" s="103"/>
      <c r="AL13" s="301" t="s">
        <v>142</v>
      </c>
      <c r="AM13" s="302" t="s">
        <v>143</v>
      </c>
      <c r="AN13" s="303">
        <v>2</v>
      </c>
      <c r="AO13" s="303">
        <v>0</v>
      </c>
      <c r="AP13" s="302" t="s">
        <v>106</v>
      </c>
      <c r="AQ13" s="304">
        <v>45540</v>
      </c>
      <c r="AR13" s="302" t="s">
        <v>144</v>
      </c>
      <c r="AS13" s="304">
        <v>45540</v>
      </c>
      <c r="AT13" s="302" t="s">
        <v>145</v>
      </c>
    </row>
    <row r="14" spans="1:46" ht="39" customHeight="1">
      <c r="A14" s="373"/>
      <c r="B14" s="114" t="s">
        <v>146</v>
      </c>
      <c r="C14" s="18" t="s">
        <v>50</v>
      </c>
      <c r="D14" s="18" t="s">
        <v>51</v>
      </c>
      <c r="E14" s="221">
        <v>34.885211651816064</v>
      </c>
      <c r="F14" s="11" t="s">
        <v>126</v>
      </c>
      <c r="G14" s="127" t="s">
        <v>51</v>
      </c>
      <c r="H14" s="128">
        <f t="shared" ref="H14:H24" si="4">E14</f>
        <v>34.885211651816064</v>
      </c>
      <c r="I14" s="116">
        <f t="shared" ref="I14:I24" si="5">(E14-O14)/(P14-O14)*Q14</f>
        <v>13.022957669636789</v>
      </c>
      <c r="J14" s="13">
        <f>ROUND(IF(I14&gt;Q14,Q14,IF(I14&lt;-Q14,-Q14,I14)),0)</f>
        <v>10</v>
      </c>
      <c r="K14" s="122" t="s">
        <v>140</v>
      </c>
      <c r="L14" s="118" t="s">
        <v>147</v>
      </c>
      <c r="N14" s="119" t="s">
        <v>148</v>
      </c>
      <c r="O14" s="123">
        <v>100</v>
      </c>
      <c r="P14" s="124">
        <v>50</v>
      </c>
      <c r="Q14" s="125">
        <v>10</v>
      </c>
      <c r="R14" s="11"/>
      <c r="S14" s="315"/>
      <c r="T14" s="12"/>
      <c r="U14" s="113">
        <f t="shared" si="2"/>
        <v>5</v>
      </c>
      <c r="V14" s="103">
        <f t="shared" si="1"/>
        <v>5</v>
      </c>
      <c r="W14" s="103"/>
      <c r="AL14" s="301" t="s">
        <v>149</v>
      </c>
      <c r="AM14" s="302" t="s">
        <v>150</v>
      </c>
      <c r="AN14" s="303">
        <v>3</v>
      </c>
      <c r="AO14" s="303">
        <v>-30</v>
      </c>
      <c r="AP14" s="302" t="s">
        <v>151</v>
      </c>
      <c r="AQ14" s="303" t="s">
        <v>152</v>
      </c>
      <c r="AR14" s="302" t="s">
        <v>153</v>
      </c>
      <c r="AS14" s="303" t="s">
        <v>152</v>
      </c>
      <c r="AT14" s="302" t="s">
        <v>154</v>
      </c>
    </row>
    <row r="15" spans="1:46" ht="37.5" customHeight="1" thickBot="1">
      <c r="A15" s="373"/>
      <c r="B15" s="114" t="s">
        <v>57</v>
      </c>
      <c r="C15" s="18" t="s">
        <v>58</v>
      </c>
      <c r="D15" s="18" t="s">
        <v>59</v>
      </c>
      <c r="E15" s="222">
        <v>1</v>
      </c>
      <c r="F15" s="11" t="s">
        <v>126</v>
      </c>
      <c r="G15" s="127" t="s">
        <v>155</v>
      </c>
      <c r="H15" s="128">
        <f t="shared" si="4"/>
        <v>1</v>
      </c>
      <c r="I15" s="116">
        <f>(E15-O15)/(P15-O15)*Q15</f>
        <v>30</v>
      </c>
      <c r="J15" s="13">
        <f>ROUND(IF(I15&gt;Q15,Q15,IF(I15&lt;-Q15,-Q15,I15)),0)</f>
        <v>30</v>
      </c>
      <c r="K15" s="122" t="s">
        <v>156</v>
      </c>
      <c r="L15" s="118" t="s">
        <v>157</v>
      </c>
      <c r="N15" s="119" t="str">
        <f t="shared" si="0"/>
        <v>Sheet adhesion</v>
      </c>
      <c r="O15" s="123">
        <v>2</v>
      </c>
      <c r="P15" s="124">
        <v>1</v>
      </c>
      <c r="Q15" s="125">
        <v>30</v>
      </c>
      <c r="R15" s="11"/>
      <c r="S15" s="315"/>
      <c r="T15" s="130"/>
      <c r="U15" s="113">
        <f t="shared" si="2"/>
        <v>15</v>
      </c>
      <c r="V15" s="103">
        <f t="shared" si="1"/>
        <v>15</v>
      </c>
      <c r="W15" s="103"/>
      <c r="AL15" s="301" t="s">
        <v>158</v>
      </c>
      <c r="AM15" s="302" t="s">
        <v>159</v>
      </c>
      <c r="AN15" s="303"/>
      <c r="AO15" s="303"/>
      <c r="AP15" s="303"/>
      <c r="AQ15" s="303" t="s">
        <v>158</v>
      </c>
      <c r="AR15" s="302" t="s">
        <v>160</v>
      </c>
      <c r="AS15" s="303" t="s">
        <v>158</v>
      </c>
      <c r="AT15" s="302" t="s">
        <v>161</v>
      </c>
    </row>
    <row r="16" spans="1:46" ht="9.75" hidden="1" customHeight="1" thickBot="1">
      <c r="A16" s="374"/>
      <c r="B16" s="131" t="s">
        <v>162</v>
      </c>
      <c r="C16" s="132"/>
      <c r="D16" s="132"/>
      <c r="E16" s="133">
        <v>14509.025</v>
      </c>
      <c r="F16" s="134" t="s">
        <v>126</v>
      </c>
      <c r="G16" s="135"/>
      <c r="H16" s="136">
        <f t="shared" si="4"/>
        <v>14509.025</v>
      </c>
      <c r="I16" s="137">
        <f t="shared" si="5"/>
        <v>0</v>
      </c>
      <c r="J16" s="138">
        <f t="shared" si="3"/>
        <v>0</v>
      </c>
      <c r="K16" s="139"/>
      <c r="L16" s="140" t="s">
        <v>92</v>
      </c>
      <c r="M16" s="141"/>
      <c r="N16" s="142" t="str">
        <f t="shared" si="0"/>
        <v>Macrostickies (MSA) &lt;2000 µm
(mm²/kg)</v>
      </c>
      <c r="O16" s="143">
        <v>10000</v>
      </c>
      <c r="P16" s="144">
        <v>1000</v>
      </c>
      <c r="Q16" s="145">
        <v>0</v>
      </c>
      <c r="R16" s="14"/>
      <c r="S16" s="146"/>
      <c r="T16" s="147" t="s">
        <v>163</v>
      </c>
      <c r="U16" s="113">
        <f t="shared" si="2"/>
        <v>0</v>
      </c>
      <c r="V16" s="103">
        <f t="shared" si="1"/>
        <v>0</v>
      </c>
      <c r="W16" s="103"/>
    </row>
    <row r="17" spans="1:43" ht="39" customHeight="1" thickBot="1">
      <c r="A17" s="372" t="s">
        <v>164</v>
      </c>
      <c r="B17" s="104" t="s">
        <v>165</v>
      </c>
      <c r="C17" s="105" t="s">
        <v>166</v>
      </c>
      <c r="D17" s="105" t="s">
        <v>167</v>
      </c>
      <c r="E17" s="220">
        <v>80.224999999999994</v>
      </c>
      <c r="F17" s="106" t="s">
        <v>126</v>
      </c>
      <c r="G17" s="107" t="s">
        <v>34</v>
      </c>
      <c r="H17" s="148">
        <f t="shared" si="4"/>
        <v>80.224999999999994</v>
      </c>
      <c r="I17" s="149" t="s">
        <v>168</v>
      </c>
      <c r="J17" s="150"/>
      <c r="K17" s="151"/>
      <c r="L17" s="111" t="s">
        <v>169</v>
      </c>
      <c r="M17" s="320"/>
      <c r="N17" s="152" t="str">
        <f t="shared" si="0"/>
        <v xml:space="preserve">UP luminosity </v>
      </c>
      <c r="O17" s="106"/>
      <c r="P17" s="106"/>
      <c r="Q17" s="106"/>
      <c r="R17" s="106"/>
      <c r="S17" s="153"/>
      <c r="T17" s="10"/>
      <c r="U17" s="113">
        <f>J17*$R$26/100</f>
        <v>0</v>
      </c>
      <c r="V17" s="103">
        <f t="shared" si="1"/>
        <v>0</v>
      </c>
      <c r="W17" s="103"/>
    </row>
    <row r="18" spans="1:43" ht="39" customHeight="1" thickBot="1">
      <c r="A18" s="375"/>
      <c r="B18" s="154" t="s">
        <v>170</v>
      </c>
      <c r="C18" s="155" t="s">
        <v>171</v>
      </c>
      <c r="D18" s="155" t="s">
        <v>167</v>
      </c>
      <c r="E18" s="223">
        <v>80</v>
      </c>
      <c r="F18" s="156" t="s">
        <v>126</v>
      </c>
      <c r="G18" s="107" t="s">
        <v>34</v>
      </c>
      <c r="H18" s="148">
        <f t="shared" si="4"/>
        <v>80</v>
      </c>
      <c r="I18" s="157">
        <f>(E18-O18)/(P18-O18)*Q18</f>
        <v>78.75</v>
      </c>
      <c r="J18" s="158">
        <f t="shared" ref="J18" si="6">ROUND(IF(I18&gt;Q18,Q18,IF(I18&lt;-Q18,-Q18,I18)),0)</f>
        <v>35</v>
      </c>
      <c r="K18" s="159" t="s">
        <v>172</v>
      </c>
      <c r="L18" s="160" t="s">
        <v>173</v>
      </c>
      <c r="N18" s="161" t="str">
        <f t="shared" si="0"/>
        <v>DP luminosity</v>
      </c>
      <c r="O18" s="123">
        <v>53</v>
      </c>
      <c r="P18" s="162">
        <v>65</v>
      </c>
      <c r="Q18" s="163">
        <v>35</v>
      </c>
      <c r="R18" s="164"/>
      <c r="S18" s="165"/>
      <c r="T18" s="166"/>
      <c r="U18" s="113">
        <f>J18*$R$26/100</f>
        <v>17.5</v>
      </c>
      <c r="V18" s="103">
        <f t="shared" si="1"/>
        <v>17.5</v>
      </c>
      <c r="W18" s="103"/>
      <c r="AL18" s="360" t="s">
        <v>164</v>
      </c>
      <c r="AM18" s="361"/>
      <c r="AN18" s="361"/>
      <c r="AO18" s="361"/>
      <c r="AP18" s="361"/>
      <c r="AQ18" s="362"/>
    </row>
    <row r="19" spans="1:43" ht="39" customHeight="1" thickBot="1">
      <c r="A19" s="373"/>
      <c r="B19" s="114" t="s">
        <v>174</v>
      </c>
      <c r="C19" s="18" t="s">
        <v>175</v>
      </c>
      <c r="D19" s="18" t="s">
        <v>176</v>
      </c>
      <c r="E19" s="224">
        <v>1</v>
      </c>
      <c r="F19" s="11" t="s">
        <v>126</v>
      </c>
      <c r="G19" s="127" t="s">
        <v>176</v>
      </c>
      <c r="H19" s="167">
        <f t="shared" si="4"/>
        <v>1</v>
      </c>
      <c r="I19" s="116">
        <f>IF(E19&lt;0,(E19-O19)/(P19-O19)*Q19,(E19-R19)/(S19-R19)*Q19)</f>
        <v>20</v>
      </c>
      <c r="J19" s="13">
        <f t="shared" si="3"/>
        <v>20</v>
      </c>
      <c r="K19" s="122" t="s">
        <v>177</v>
      </c>
      <c r="L19" s="118" t="s">
        <v>178</v>
      </c>
      <c r="N19" s="168" t="str">
        <f t="shared" si="0"/>
        <v>colour shade (a*)</v>
      </c>
      <c r="O19" s="169">
        <v>-3</v>
      </c>
      <c r="P19" s="170">
        <v>-2</v>
      </c>
      <c r="Q19" s="125">
        <v>20</v>
      </c>
      <c r="R19" s="169">
        <v>2</v>
      </c>
      <c r="S19" s="170">
        <v>1</v>
      </c>
      <c r="T19" s="129"/>
      <c r="U19" s="113">
        <f t="shared" ref="U19:U24" si="7">J19*$R$26/100</f>
        <v>10</v>
      </c>
      <c r="V19" s="103">
        <f t="shared" si="1"/>
        <v>10</v>
      </c>
      <c r="W19" s="103"/>
      <c r="AL19" s="360" t="s">
        <v>179</v>
      </c>
      <c r="AM19" s="362"/>
      <c r="AN19" s="360" t="s">
        <v>180</v>
      </c>
      <c r="AO19" s="362"/>
      <c r="AP19" s="360" t="s">
        <v>181</v>
      </c>
      <c r="AQ19" s="362"/>
    </row>
    <row r="20" spans="1:43" ht="39" customHeight="1" thickBot="1">
      <c r="A20" s="373"/>
      <c r="B20" s="114" t="s">
        <v>182</v>
      </c>
      <c r="C20" s="18" t="s">
        <v>183</v>
      </c>
      <c r="D20" s="18" t="s">
        <v>184</v>
      </c>
      <c r="E20" s="222">
        <v>1200</v>
      </c>
      <c r="F20" s="11" t="s">
        <v>126</v>
      </c>
      <c r="G20" s="127" t="s">
        <v>184</v>
      </c>
      <c r="H20" s="128">
        <f t="shared" si="4"/>
        <v>1200</v>
      </c>
      <c r="I20" s="116">
        <f t="shared" si="5"/>
        <v>8.5714285714285712</v>
      </c>
      <c r="J20" s="13">
        <f t="shared" si="3"/>
        <v>9</v>
      </c>
      <c r="K20" s="122" t="s">
        <v>185</v>
      </c>
      <c r="L20" s="118" t="s">
        <v>186</v>
      </c>
      <c r="N20" s="168" t="str">
        <f t="shared" si="0"/>
        <v>Dirt specks area (A50)</v>
      </c>
      <c r="O20" s="169">
        <v>2000</v>
      </c>
      <c r="P20" s="170">
        <v>600</v>
      </c>
      <c r="Q20" s="125">
        <v>15</v>
      </c>
      <c r="R20" s="11"/>
      <c r="S20" s="315"/>
      <c r="T20" s="12"/>
      <c r="U20" s="113">
        <f t="shared" si="7"/>
        <v>4.5</v>
      </c>
      <c r="V20" s="103">
        <f t="shared" si="1"/>
        <v>4.5</v>
      </c>
      <c r="W20" s="103"/>
      <c r="AL20" s="299" t="s">
        <v>77</v>
      </c>
      <c r="AM20" s="300" t="s">
        <v>25</v>
      </c>
      <c r="AN20" s="300" t="s">
        <v>77</v>
      </c>
      <c r="AO20" s="300" t="s">
        <v>25</v>
      </c>
      <c r="AP20" s="300" t="s">
        <v>77</v>
      </c>
      <c r="AQ20" s="300" t="s">
        <v>25</v>
      </c>
    </row>
    <row r="21" spans="1:43" ht="39" customHeight="1" thickBot="1">
      <c r="A21" s="373"/>
      <c r="B21" s="114" t="s">
        <v>187</v>
      </c>
      <c r="C21" s="18" t="s">
        <v>188</v>
      </c>
      <c r="D21" s="18" t="s">
        <v>184</v>
      </c>
      <c r="E21" s="222">
        <v>114.32249999999999</v>
      </c>
      <c r="F21" s="11" t="s">
        <v>126</v>
      </c>
      <c r="G21" s="127" t="s">
        <v>184</v>
      </c>
      <c r="H21" s="128">
        <f t="shared" si="4"/>
        <v>114.32249999999999</v>
      </c>
      <c r="I21" s="116">
        <f t="shared" si="5"/>
        <v>11.563749999999999</v>
      </c>
      <c r="J21" s="13">
        <f t="shared" si="3"/>
        <v>10</v>
      </c>
      <c r="K21" s="122" t="s">
        <v>189</v>
      </c>
      <c r="L21" s="118" t="s">
        <v>190</v>
      </c>
      <c r="N21" s="168" t="str">
        <f t="shared" si="0"/>
        <v>Dirt specks area (A250)</v>
      </c>
      <c r="O21" s="169">
        <v>600</v>
      </c>
      <c r="P21" s="170">
        <v>180</v>
      </c>
      <c r="Q21" s="125">
        <v>10</v>
      </c>
      <c r="R21" s="11"/>
      <c r="S21" s="315"/>
      <c r="T21" s="12"/>
      <c r="U21" s="113">
        <f t="shared" si="7"/>
        <v>5</v>
      </c>
      <c r="V21" s="103">
        <f t="shared" si="1"/>
        <v>5</v>
      </c>
      <c r="W21" s="103"/>
      <c r="AL21" s="306">
        <v>35</v>
      </c>
      <c r="AM21" s="307" t="s">
        <v>191</v>
      </c>
      <c r="AN21" s="305">
        <v>20</v>
      </c>
      <c r="AO21" s="307" t="s">
        <v>192</v>
      </c>
      <c r="AP21" s="305">
        <v>15</v>
      </c>
      <c r="AQ21" s="307" t="s">
        <v>193</v>
      </c>
    </row>
    <row r="22" spans="1:43" ht="39" hidden="1" customHeight="1" thickBot="1">
      <c r="A22" s="373"/>
      <c r="B22" s="171" t="s">
        <v>194</v>
      </c>
      <c r="C22" s="172"/>
      <c r="D22" s="172"/>
      <c r="E22" s="173">
        <v>0</v>
      </c>
      <c r="F22" s="174" t="s">
        <v>126</v>
      </c>
      <c r="G22" s="175"/>
      <c r="H22" s="176">
        <f t="shared" si="4"/>
        <v>0</v>
      </c>
      <c r="I22" s="177">
        <f>(E22-O22)/(P22-O22)*Q22</f>
        <v>0</v>
      </c>
      <c r="J22" s="178">
        <f t="shared" si="3"/>
        <v>0</v>
      </c>
      <c r="K22" s="179"/>
      <c r="L22" s="180" t="s">
        <v>195</v>
      </c>
      <c r="M22" s="141"/>
      <c r="N22" s="142" t="str">
        <f t="shared" si="0"/>
        <v>Ink Elimination (IE)
(%)</v>
      </c>
      <c r="O22" s="143">
        <v>40</v>
      </c>
      <c r="P22" s="144">
        <v>70</v>
      </c>
      <c r="Q22" s="145">
        <v>0</v>
      </c>
      <c r="R22" s="174"/>
      <c r="S22" s="315"/>
      <c r="T22" s="130" t="s">
        <v>196</v>
      </c>
      <c r="U22" s="113">
        <f t="shared" si="7"/>
        <v>0</v>
      </c>
      <c r="V22" s="103">
        <f t="shared" si="1"/>
        <v>0</v>
      </c>
      <c r="W22" s="103"/>
      <c r="AL22" s="306" t="s">
        <v>197</v>
      </c>
      <c r="AM22" s="307" t="s">
        <v>198</v>
      </c>
      <c r="AN22" s="308">
        <v>43739</v>
      </c>
      <c r="AO22" s="307" t="s">
        <v>199</v>
      </c>
      <c r="AP22" s="308">
        <v>41852</v>
      </c>
      <c r="AQ22" s="307" t="s">
        <v>200</v>
      </c>
    </row>
    <row r="23" spans="1:43" ht="39" customHeight="1" thickBot="1">
      <c r="A23" s="373"/>
      <c r="B23" s="114" t="s">
        <v>201</v>
      </c>
      <c r="C23" s="18" t="s">
        <v>202</v>
      </c>
      <c r="D23" s="18" t="s">
        <v>167</v>
      </c>
      <c r="E23" s="120">
        <f>E18-E17</f>
        <v>-0.22499999999999432</v>
      </c>
      <c r="F23" s="11"/>
      <c r="G23" s="127" t="s">
        <v>167</v>
      </c>
      <c r="H23" s="167">
        <f>E18-E17</f>
        <v>-0.22499999999999432</v>
      </c>
      <c r="I23" s="116">
        <f>(H23-O23)/(P23-O23)*Q23</f>
        <v>-8.8928571428571352</v>
      </c>
      <c r="J23" s="13">
        <f>ROUND(IF(H17&gt;=R23,Q23,IF(H18&gt;=S23,Q23,IF(I23&gt;Q23,Q23,IF(I23&lt;-Q23,-Q23,I23)))),0)</f>
        <v>10</v>
      </c>
      <c r="K23" s="122" t="s">
        <v>140</v>
      </c>
      <c r="L23" s="118" t="s">
        <v>203</v>
      </c>
      <c r="N23" s="168" t="str">
        <f t="shared" si="0"/>
        <v>Luminosity gain (YG)</v>
      </c>
      <c r="O23" s="169">
        <v>6</v>
      </c>
      <c r="P23" s="170">
        <v>13</v>
      </c>
      <c r="Q23" s="125">
        <v>10</v>
      </c>
      <c r="R23" s="11">
        <f>P18-3</f>
        <v>62</v>
      </c>
      <c r="S23" s="181">
        <f>P18</f>
        <v>65</v>
      </c>
      <c r="T23" s="12"/>
      <c r="U23" s="113">
        <f t="shared" si="7"/>
        <v>5</v>
      </c>
      <c r="V23" s="103">
        <f t="shared" si="1"/>
        <v>5</v>
      </c>
      <c r="W23" s="103"/>
      <c r="AL23" s="306" t="s">
        <v>149</v>
      </c>
      <c r="AM23" s="307" t="s">
        <v>204</v>
      </c>
      <c r="AN23" s="305" t="s">
        <v>205</v>
      </c>
      <c r="AO23" s="307" t="s">
        <v>206</v>
      </c>
      <c r="AP23" s="305" t="s">
        <v>152</v>
      </c>
      <c r="AQ23" s="307" t="s">
        <v>207</v>
      </c>
    </row>
    <row r="24" spans="1:43" ht="39" customHeight="1" thickBot="1">
      <c r="A24" s="374"/>
      <c r="B24" s="182" t="s">
        <v>208</v>
      </c>
      <c r="C24" s="183" t="s">
        <v>209</v>
      </c>
      <c r="D24" s="183" t="s">
        <v>167</v>
      </c>
      <c r="E24" s="225">
        <v>0.28000000000000114</v>
      </c>
      <c r="F24" s="14" t="s">
        <v>126</v>
      </c>
      <c r="G24" s="184" t="s">
        <v>167</v>
      </c>
      <c r="H24" s="185">
        <f t="shared" si="4"/>
        <v>0.28000000000000114</v>
      </c>
      <c r="I24" s="186">
        <f t="shared" si="5"/>
        <v>14.766666666666666</v>
      </c>
      <c r="J24" s="187">
        <f t="shared" si="3"/>
        <v>10</v>
      </c>
      <c r="K24" s="188" t="s">
        <v>140</v>
      </c>
      <c r="L24" s="189" t="s">
        <v>210</v>
      </c>
      <c r="N24" s="190" t="str">
        <f t="shared" si="0"/>
        <v>Filtrate darkening</v>
      </c>
      <c r="O24" s="191">
        <v>18</v>
      </c>
      <c r="P24" s="192">
        <v>6</v>
      </c>
      <c r="Q24" s="193">
        <v>10</v>
      </c>
      <c r="R24" s="14"/>
      <c r="S24" s="146"/>
      <c r="T24" s="147"/>
      <c r="U24" s="113">
        <f t="shared" si="7"/>
        <v>5</v>
      </c>
      <c r="V24" s="103">
        <f t="shared" si="1"/>
        <v>5</v>
      </c>
      <c r="W24" s="103"/>
      <c r="AL24" s="306" t="s">
        <v>158</v>
      </c>
      <c r="AM24" s="307" t="s">
        <v>211</v>
      </c>
      <c r="AN24" s="305" t="s">
        <v>158</v>
      </c>
      <c r="AO24" s="307" t="s">
        <v>212</v>
      </c>
      <c r="AP24" s="305" t="s">
        <v>158</v>
      </c>
      <c r="AQ24" s="307" t="s">
        <v>213</v>
      </c>
    </row>
    <row r="25" spans="1:43" ht="27" customHeight="1" thickBot="1">
      <c r="B25" s="194" t="s">
        <v>214</v>
      </c>
      <c r="C25" s="194"/>
      <c r="D25" s="194"/>
      <c r="E25" s="194"/>
      <c r="F25" s="195"/>
      <c r="G25" s="195"/>
      <c r="H25" s="196"/>
      <c r="I25" s="197">
        <f>IF(SMALL(J10:J16,1)&lt;0,SUMIF(J10:J16,"&lt;0",J10:J16),SUM(J10:J16))</f>
        <v>83</v>
      </c>
      <c r="J25" s="198">
        <f>IF(SMALL(J10:J16,1)&lt;0,SUMIF(J10:J16,"&lt;0",J10:J16),SUM(J10:J16))</f>
        <v>83</v>
      </c>
      <c r="K25" s="365" t="s">
        <v>215</v>
      </c>
      <c r="L25" s="366"/>
      <c r="N25" s="199" t="str">
        <f t="shared" si="0"/>
        <v>Subscore batch 1</v>
      </c>
      <c r="O25" s="165"/>
      <c r="P25" s="165"/>
      <c r="Q25" s="200">
        <f>SUM(Q10:Q16)</f>
        <v>100</v>
      </c>
      <c r="R25" s="164">
        <v>50</v>
      </c>
      <c r="S25" s="165"/>
      <c r="T25" s="201"/>
    </row>
    <row r="26" spans="1:43" ht="27" customHeight="1" thickBot="1">
      <c r="B26" s="202" t="s">
        <v>216</v>
      </c>
      <c r="C26" s="202"/>
      <c r="D26" s="202"/>
      <c r="E26" s="202"/>
      <c r="F26" s="203"/>
      <c r="G26" s="203"/>
      <c r="H26" s="204"/>
      <c r="I26" s="205">
        <f>IF(SMALL(J17:J24,1)&lt;0,SUMIF(J17:J24,"&lt;0",J17:J24),SUM(J17:J24))</f>
        <v>94</v>
      </c>
      <c r="J26" s="206">
        <f>IF(SMALL(J17:J24,1)&lt;0,SUMIF(J17:J24,"&lt;0",J17:J24),SUM(J17:J24))</f>
        <v>94</v>
      </c>
      <c r="K26" s="367" t="s">
        <v>217</v>
      </c>
      <c r="L26" s="368"/>
      <c r="N26" s="207" t="str">
        <f t="shared" si="0"/>
        <v>Subscore batch 2</v>
      </c>
      <c r="O26" s="208"/>
      <c r="P26" s="208"/>
      <c r="Q26" s="209">
        <f>SUM(Q17:Q24)</f>
        <v>100</v>
      </c>
      <c r="R26" s="11">
        <v>50</v>
      </c>
      <c r="S26" s="315"/>
      <c r="T26" s="12"/>
      <c r="AL26" s="360" t="s">
        <v>164</v>
      </c>
      <c r="AM26" s="361"/>
      <c r="AN26" s="361"/>
      <c r="AO26" s="361"/>
      <c r="AP26" s="361"/>
      <c r="AQ26" s="362"/>
    </row>
    <row r="27" spans="1:43" ht="83.25" customHeight="1" thickBot="1">
      <c r="B27" s="15" t="s">
        <v>72</v>
      </c>
      <c r="C27" s="318"/>
      <c r="D27" s="369" t="str">
        <f>IF(J27&lt;0,C37,C38)</f>
        <v>Technically recyclable in a paper mill with flotation-deinking process</v>
      </c>
      <c r="E27" s="370"/>
      <c r="F27" s="370"/>
      <c r="G27" s="370"/>
      <c r="H27" s="371"/>
      <c r="I27" s="210"/>
      <c r="J27" s="211">
        <f>ROUND(IF(SMALL(J25:J26,1)&lt;0,SUMIF(J25:J26,"&lt;0",J25:J26)*0.5,ROUND(SUM(J25:J26)*0.5,0)),0)</f>
        <v>89</v>
      </c>
      <c r="K27" s="257" t="s">
        <v>73</v>
      </c>
      <c r="L27" s="256"/>
      <c r="N27" s="212" t="s">
        <v>74</v>
      </c>
      <c r="O27" s="191" t="s">
        <v>75</v>
      </c>
      <c r="P27" s="192" t="s">
        <v>218</v>
      </c>
      <c r="Q27" s="193" t="s">
        <v>77</v>
      </c>
      <c r="R27" s="14" t="s">
        <v>219</v>
      </c>
      <c r="S27" s="16"/>
      <c r="T27" s="147"/>
      <c r="AL27" s="360" t="s">
        <v>220</v>
      </c>
      <c r="AM27" s="362"/>
      <c r="AN27" s="360" t="s">
        <v>221</v>
      </c>
      <c r="AO27" s="362"/>
      <c r="AP27" s="360" t="s">
        <v>222</v>
      </c>
      <c r="AQ27" s="362"/>
    </row>
    <row r="28" spans="1:43" ht="20.100000000000001" thickBot="1">
      <c r="B28" s="29"/>
      <c r="C28" s="29"/>
      <c r="D28" s="29"/>
      <c r="E28" s="20"/>
      <c r="F28" s="20"/>
      <c r="G28" s="20"/>
      <c r="H28" s="20"/>
      <c r="I28" s="340"/>
      <c r="J28" s="341"/>
      <c r="K28" s="342"/>
      <c r="L28" s="53"/>
      <c r="N28" s="50"/>
      <c r="O28" s="335"/>
      <c r="P28" s="336"/>
      <c r="Q28" s="337"/>
      <c r="R28" s="291"/>
      <c r="AL28" s="338"/>
      <c r="AM28" s="300"/>
      <c r="AN28" s="339"/>
      <c r="AO28" s="300"/>
      <c r="AP28" s="339"/>
      <c r="AQ28" s="300"/>
    </row>
    <row r="29" spans="1:43" ht="20.100000000000001" thickBot="1">
      <c r="B29" s="29"/>
      <c r="C29" s="29"/>
      <c r="D29" s="29"/>
      <c r="E29" s="20"/>
      <c r="F29" s="20"/>
      <c r="G29" s="20"/>
      <c r="H29" s="20"/>
      <c r="I29" s="340"/>
      <c r="J29" s="341"/>
      <c r="K29" s="342"/>
      <c r="L29" s="53"/>
      <c r="N29" s="50"/>
      <c r="O29" s="335"/>
      <c r="P29" s="336"/>
      <c r="Q29" s="337"/>
      <c r="R29" s="291"/>
      <c r="AL29" s="338"/>
      <c r="AM29" s="300"/>
      <c r="AN29" s="339"/>
      <c r="AO29" s="300"/>
      <c r="AP29" s="339"/>
      <c r="AQ29" s="300"/>
    </row>
    <row r="30" spans="1:43" ht="24" customHeight="1" thickBot="1">
      <c r="B30" s="359" t="s">
        <v>82</v>
      </c>
      <c r="C30" s="359"/>
      <c r="D30" s="359"/>
      <c r="E30" s="359"/>
      <c r="F30" s="359"/>
      <c r="G30" s="359"/>
      <c r="H30" s="359"/>
      <c r="I30" s="359"/>
      <c r="J30" s="359"/>
      <c r="K30" s="359"/>
      <c r="L30" s="359"/>
      <c r="N30" s="50"/>
      <c r="O30" s="335"/>
      <c r="P30" s="336"/>
      <c r="Q30" s="337"/>
      <c r="R30" s="291"/>
      <c r="AL30" s="338"/>
      <c r="AM30" s="300"/>
      <c r="AN30" s="339"/>
      <c r="AO30" s="300"/>
      <c r="AP30" s="339"/>
      <c r="AQ30" s="300"/>
    </row>
    <row r="31" spans="1:43" ht="33" thickBot="1">
      <c r="B31" s="94" t="s">
        <v>8</v>
      </c>
      <c r="C31" s="95" t="s">
        <v>9</v>
      </c>
      <c r="D31" s="95" t="s">
        <v>10</v>
      </c>
      <c r="E31" s="96" t="s">
        <v>11</v>
      </c>
      <c r="F31" s="96" t="s">
        <v>121</v>
      </c>
      <c r="G31" s="96" t="s">
        <v>10</v>
      </c>
      <c r="H31" s="96" t="s">
        <v>12</v>
      </c>
      <c r="I31" s="97" t="s">
        <v>122</v>
      </c>
      <c r="J31" s="97" t="s">
        <v>13</v>
      </c>
      <c r="K31" s="97" t="s">
        <v>14</v>
      </c>
      <c r="L31" s="96" t="s">
        <v>15</v>
      </c>
      <c r="N31" s="50"/>
      <c r="O31" s="335"/>
      <c r="P31" s="336"/>
      <c r="Q31" s="337"/>
      <c r="R31" s="291"/>
      <c r="AL31" s="338"/>
      <c r="AM31" s="300"/>
      <c r="AN31" s="339"/>
      <c r="AO31" s="300"/>
      <c r="AP31" s="339"/>
      <c r="AQ31" s="300"/>
    </row>
    <row r="32" spans="1:43" ht="15.95">
      <c r="B32" s="114" t="s">
        <v>87</v>
      </c>
      <c r="C32" s="155" t="s">
        <v>88</v>
      </c>
      <c r="D32" s="155" t="s">
        <v>89</v>
      </c>
      <c r="E32" s="251">
        <v>28000</v>
      </c>
      <c r="F32" s="181" t="s">
        <v>126</v>
      </c>
      <c r="G32" s="155" t="s">
        <v>89</v>
      </c>
      <c r="H32">
        <f>E32</f>
        <v>28000</v>
      </c>
      <c r="J32" s="13">
        <f>ROUND(IF(E32&lt;O32,15,IF(E32&gt;Q32,-15,15-15*(LOG10(E32)-LOG10(O32))/(LOG10(P32)-LOG10(O32)))),0)</f>
        <v>-1</v>
      </c>
      <c r="K32" s="13" t="s">
        <v>223</v>
      </c>
      <c r="L32" s="18" t="s">
        <v>91</v>
      </c>
      <c r="N32" s="119" t="s">
        <v>224</v>
      </c>
      <c r="O32" s="123">
        <v>2000</v>
      </c>
      <c r="P32" s="124">
        <v>25000</v>
      </c>
      <c r="Q32" s="125">
        <v>250000</v>
      </c>
      <c r="R32" s="291"/>
      <c r="AL32" s="338"/>
      <c r="AM32" s="300"/>
      <c r="AN32" s="339"/>
      <c r="AO32" s="300"/>
      <c r="AP32" s="339"/>
      <c r="AQ32" s="300"/>
    </row>
    <row r="33" spans="2:43" ht="20.100000000000001" thickBot="1">
      <c r="B33" s="29"/>
      <c r="C33" s="29"/>
      <c r="D33" s="29"/>
      <c r="E33" s="20"/>
      <c r="F33" s="20"/>
      <c r="G33" s="20"/>
      <c r="H33" s="20"/>
      <c r="I33" s="340"/>
      <c r="J33" s="341"/>
      <c r="K33" s="342"/>
      <c r="L33" s="53"/>
      <c r="N33" s="50"/>
      <c r="O33" s="335"/>
      <c r="P33" s="336"/>
      <c r="Q33" s="337"/>
      <c r="R33" s="291"/>
      <c r="AL33" s="338"/>
      <c r="AM33" s="300"/>
      <c r="AN33" s="339"/>
      <c r="AO33" s="300"/>
      <c r="AP33" s="339"/>
      <c r="AQ33" s="300"/>
    </row>
    <row r="34" spans="2:43" ht="17.100000000000001" thickBot="1">
      <c r="J34" s="343"/>
      <c r="K34" s="343"/>
      <c r="AL34" s="299" t="s">
        <v>77</v>
      </c>
      <c r="AM34" s="300" t="s">
        <v>25</v>
      </c>
      <c r="AN34" s="300" t="s">
        <v>77</v>
      </c>
      <c r="AO34" s="300" t="s">
        <v>25</v>
      </c>
      <c r="AP34" s="300" t="s">
        <v>77</v>
      </c>
      <c r="AQ34" s="300" t="s">
        <v>25</v>
      </c>
    </row>
    <row r="35" spans="2:43" ht="20.25" customHeight="1" thickBot="1">
      <c r="AL35" s="306">
        <v>10</v>
      </c>
      <c r="AM35" s="307" t="s">
        <v>225</v>
      </c>
      <c r="AN35" s="305">
        <v>10</v>
      </c>
      <c r="AO35" s="307" t="s">
        <v>226</v>
      </c>
      <c r="AP35" s="305">
        <v>10</v>
      </c>
      <c r="AQ35" s="307" t="s">
        <v>227</v>
      </c>
    </row>
    <row r="36" spans="2:43" ht="15" hidden="1" customHeight="1" outlineLevel="1" thickBot="1">
      <c r="B36" s="213" t="s">
        <v>228</v>
      </c>
      <c r="C36" s="214"/>
      <c r="D36" s="214"/>
      <c r="AL36" s="309">
        <v>45540</v>
      </c>
      <c r="AM36" s="307" t="s">
        <v>229</v>
      </c>
      <c r="AN36" s="310">
        <v>45540</v>
      </c>
      <c r="AO36" s="307" t="s">
        <v>230</v>
      </c>
      <c r="AP36" s="310">
        <v>45540</v>
      </c>
      <c r="AQ36" s="307" t="s">
        <v>231</v>
      </c>
    </row>
    <row r="37" spans="2:43" ht="150" hidden="1" customHeight="1" outlineLevel="1" thickBot="1">
      <c r="B37" s="17">
        <v>-100</v>
      </c>
      <c r="C37" s="215" t="s">
        <v>232</v>
      </c>
      <c r="D37" s="216"/>
      <c r="S37" s="217"/>
      <c r="T37" s="3"/>
      <c r="U37" s="3"/>
      <c r="V37" s="3"/>
      <c r="W37" s="3"/>
      <c r="Y37" s="3"/>
      <c r="Z37" s="3"/>
      <c r="AA37" s="3"/>
      <c r="AB37" s="3"/>
      <c r="AC37" s="3"/>
      <c r="AD37" s="3"/>
      <c r="AE37" s="3"/>
      <c r="AF37" s="3"/>
      <c r="AG37" s="3"/>
      <c r="AH37" s="3"/>
      <c r="AI37" s="3"/>
      <c r="AJ37" s="3"/>
      <c r="AK37" s="3"/>
      <c r="AL37" s="306" t="s">
        <v>152</v>
      </c>
      <c r="AM37" s="307" t="s">
        <v>233</v>
      </c>
      <c r="AN37" s="305" t="s">
        <v>152</v>
      </c>
      <c r="AO37" s="307" t="s">
        <v>234</v>
      </c>
      <c r="AP37" s="305" t="s">
        <v>152</v>
      </c>
      <c r="AQ37" s="307" t="s">
        <v>235</v>
      </c>
    </row>
    <row r="38" spans="2:43" ht="15" hidden="1" customHeight="1" outlineLevel="1" thickBot="1">
      <c r="B38" s="17">
        <v>0</v>
      </c>
      <c r="C38" s="17" t="s">
        <v>236</v>
      </c>
      <c r="N38" s="3"/>
      <c r="O38" s="3"/>
      <c r="P38" s="3"/>
      <c r="Q38" s="3"/>
      <c r="R38" s="3"/>
      <c r="S38" s="3"/>
      <c r="T38" s="3"/>
      <c r="U38" s="3"/>
      <c r="V38" s="3"/>
      <c r="W38" s="3"/>
      <c r="Y38" s="3"/>
      <c r="Z38" s="3"/>
      <c r="AA38" s="3"/>
      <c r="AB38" s="3"/>
      <c r="AC38" s="3"/>
      <c r="AD38" s="3"/>
      <c r="AE38" s="3"/>
      <c r="AF38" s="3"/>
      <c r="AG38" s="3"/>
      <c r="AH38" s="3"/>
      <c r="AI38" s="3"/>
      <c r="AJ38" s="3"/>
      <c r="AK38" s="3"/>
      <c r="AL38" s="306" t="s">
        <v>158</v>
      </c>
      <c r="AM38" s="307" t="s">
        <v>237</v>
      </c>
      <c r="AN38" s="305" t="s">
        <v>158</v>
      </c>
      <c r="AO38" s="307" t="s">
        <v>238</v>
      </c>
      <c r="AP38" s="305" t="s">
        <v>158</v>
      </c>
      <c r="AQ38" s="307" t="s">
        <v>239</v>
      </c>
    </row>
    <row r="39" spans="2:43" collapsed="1"/>
    <row r="42" spans="2:43" ht="24">
      <c r="B42" s="218"/>
      <c r="C42" s="218"/>
      <c r="D42" s="218"/>
    </row>
    <row r="44" spans="2:43" ht="15.95">
      <c r="B44" s="219"/>
      <c r="C44" s="219"/>
      <c r="D44" s="219"/>
    </row>
    <row r="45" spans="2:43" ht="15.95">
      <c r="B45" s="219"/>
      <c r="C45" s="219"/>
      <c r="D45" s="219"/>
    </row>
    <row r="46" spans="2:43" ht="15.95">
      <c r="B46" s="219"/>
      <c r="C46" s="219"/>
      <c r="D46" s="219"/>
    </row>
    <row r="48" spans="2:43" ht="15.95">
      <c r="B48" s="219"/>
      <c r="C48" s="219"/>
      <c r="D48" s="219"/>
    </row>
    <row r="49" spans="2:4" ht="15.95">
      <c r="B49" s="219"/>
      <c r="C49" s="219"/>
      <c r="D49" s="219"/>
    </row>
    <row r="50" spans="2:4" ht="15.95">
      <c r="B50" s="219"/>
      <c r="C50" s="219"/>
      <c r="D50" s="219"/>
    </row>
    <row r="52" spans="2:4" ht="15.95">
      <c r="B52" s="219"/>
      <c r="C52" s="219"/>
      <c r="D52" s="219"/>
    </row>
    <row r="53" spans="2:4" ht="15.95">
      <c r="B53" s="219"/>
      <c r="C53" s="219"/>
      <c r="D53" s="219"/>
    </row>
    <row r="54" spans="2:4" ht="15.95">
      <c r="B54" s="219"/>
      <c r="C54" s="219"/>
      <c r="D54" s="219"/>
    </row>
    <row r="56" spans="2:4" ht="15.95">
      <c r="B56" s="219"/>
      <c r="C56" s="219"/>
      <c r="D56" s="219"/>
    </row>
    <row r="57" spans="2:4" ht="15.95">
      <c r="B57" s="219"/>
      <c r="C57" s="219"/>
      <c r="D57" s="219"/>
    </row>
    <row r="58" spans="2:4" ht="15.95">
      <c r="B58" s="219"/>
      <c r="C58" s="219"/>
      <c r="D58" s="219"/>
    </row>
    <row r="59" spans="2:4" ht="15.95">
      <c r="B59" s="219"/>
      <c r="C59" s="219"/>
      <c r="D59" s="219"/>
    </row>
  </sheetData>
  <sheetProtection algorithmName="SHA-512" hashValue="xF+86TdRu7ob1zWnqCf9D0035v7yljNl7/5N/byhxIflXpRSfOPmN2oN1NYSad/HTww7blMWgYzDrJFn/i0tuQ==" saltValue="0VdQpJtMV4KYGbDOUadqXw==" spinCount="100000" sheet="1" objects="1" scenarios="1"/>
  <mergeCells count="20">
    <mergeCell ref="K25:L25"/>
    <mergeCell ref="K26:L26"/>
    <mergeCell ref="D27:H27"/>
    <mergeCell ref="A10:A16"/>
    <mergeCell ref="A17:A24"/>
    <mergeCell ref="AL4:AL5"/>
    <mergeCell ref="AL18:AQ18"/>
    <mergeCell ref="AL19:AM19"/>
    <mergeCell ref="AN19:AO19"/>
    <mergeCell ref="AP19:AQ19"/>
    <mergeCell ref="AL9:AT9"/>
    <mergeCell ref="AL10:AM10"/>
    <mergeCell ref="AN10:AP10"/>
    <mergeCell ref="AQ10:AR10"/>
    <mergeCell ref="AS10:AT10"/>
    <mergeCell ref="B30:L30"/>
    <mergeCell ref="AL26:AQ26"/>
    <mergeCell ref="AL27:AM27"/>
    <mergeCell ref="AN27:AO27"/>
    <mergeCell ref="AP27:AQ27"/>
  </mergeCells>
  <conditionalFormatting sqref="D27">
    <cfRule type="expression" dxfId="19" priority="6">
      <formula>$J$27&gt;=0</formula>
    </cfRule>
  </conditionalFormatting>
  <conditionalFormatting sqref="D27:D29 D33">
    <cfRule type="expression" dxfId="18" priority="5">
      <formula>$J$27&lt;0</formula>
    </cfRule>
  </conditionalFormatting>
  <conditionalFormatting sqref="J32:J33">
    <cfRule type="cellIs" dxfId="17" priority="1" operator="lessThan">
      <formula>0</formula>
    </cfRule>
  </conditionalFormatting>
  <conditionalFormatting sqref="J12:K24 J25:J29">
    <cfRule type="cellIs" dxfId="16" priority="2" operator="lessThan">
      <formula>0</formula>
    </cfRule>
  </conditionalFormatting>
  <conditionalFormatting sqref="Q25:Q26">
    <cfRule type="cellIs" dxfId="15" priority="3" operator="notEqual">
      <formula>100</formula>
    </cfRule>
    <cfRule type="cellIs" dxfId="14" priority="4" operator="equal">
      <formula>100</formula>
    </cfRule>
  </conditionalFormatting>
  <dataValidations count="2">
    <dataValidation type="list" allowBlank="1" showInputMessage="1" showErrorMessage="1" error="Please enter a valid level (1-3)_x000a_" sqref="E15" xr:uid="{B1E44655-DE69-4A5C-9748-745C744D072D}">
      <formula1>"enter level,1,2,3"</formula1>
    </dataValidation>
    <dataValidation type="decimal" allowBlank="1" showInputMessage="1" showErrorMessage="1" prompt="Input as percentage (0-100)" sqref="E10:E11" xr:uid="{A826D825-6F85-478A-BFFE-ECAF2F6DC111}">
      <formula1>0</formula1>
      <formula2>100</formula2>
    </dataValidation>
  </dataValidations>
  <pageMargins left="0.25" right="0.25" top="0.75" bottom="0.75" header="0.3" footer="0.3"/>
  <pageSetup paperSize="9" scale="38" orientation="landscape" r:id="rId1"/>
  <headerFooter>
    <oddFooter>&amp;R_x000D_&amp;1#&amp;"Aptos"&amp;8&amp;K737373 General</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A13C2-3A6A-40A4-A954-F4546C9D642F}">
  <sheetPr>
    <tabColor theme="0" tint="-0.499984740745262"/>
    <pageSetUpPr fitToPage="1"/>
  </sheetPr>
  <dimension ref="A1:BB110"/>
  <sheetViews>
    <sheetView showGridLines="0" tabSelected="1" topLeftCell="A29" zoomScale="85" zoomScaleNormal="85" workbookViewId="0">
      <selection activeCell="G38" sqref="G38"/>
    </sheetView>
  </sheetViews>
  <sheetFormatPr defaultColWidth="9.140625" defaultRowHeight="15" outlineLevelRow="1" outlineLevelCol="1"/>
  <cols>
    <col min="1" max="1" width="10.7109375" customWidth="1"/>
    <col min="2" max="2" width="30.42578125" customWidth="1"/>
    <col min="3" max="4" width="20.42578125" customWidth="1"/>
    <col min="5" max="5" width="37.28515625" customWidth="1"/>
    <col min="6" max="6" width="15.28515625" customWidth="1" outlineLevel="1"/>
    <col min="7" max="7" width="19" customWidth="1"/>
    <col min="8" max="8" width="19.28515625" customWidth="1"/>
    <col min="9" max="9" width="49.7109375" customWidth="1"/>
    <col min="10" max="10" width="5" customWidth="1"/>
    <col min="11" max="11" width="26" hidden="1" customWidth="1" outlineLevel="1"/>
    <col min="12" max="12" width="16.28515625" hidden="1" customWidth="1" outlineLevel="1"/>
    <col min="13" max="13" width="18.28515625" hidden="1" customWidth="1" outlineLevel="1"/>
    <col min="14" max="14" width="14.42578125" hidden="1" customWidth="1" outlineLevel="1"/>
    <col min="15" max="15" width="14.85546875" hidden="1" customWidth="1" outlineLevel="1"/>
    <col min="16" max="16" width="17.28515625" hidden="1" customWidth="1" outlineLevel="1"/>
    <col min="17" max="17" width="14.85546875" hidden="1" customWidth="1" outlineLevel="1"/>
    <col min="18" max="18" width="10.28515625" hidden="1" customWidth="1" outlineLevel="1"/>
    <col min="19" max="19" width="12.42578125" hidden="1" customWidth="1" outlineLevel="1"/>
    <col min="20" max="20" width="10.7109375" customWidth="1" collapsed="1"/>
    <col min="21" max="21" width="9.28515625" customWidth="1"/>
    <col min="22" max="22" width="14.28515625" customWidth="1"/>
    <col min="23" max="35" width="8.85546875" customWidth="1"/>
    <col min="36" max="36" width="14.28515625" hidden="1" customWidth="1" outlineLevel="1"/>
    <col min="37" max="37" width="46.28515625" hidden="1" customWidth="1" outlineLevel="1"/>
    <col min="38" max="38" width="9.140625" hidden="1" customWidth="1" outlineLevel="1"/>
    <col min="39" max="40" width="15.140625" hidden="1" customWidth="1" outlineLevel="1"/>
    <col min="41" max="41" width="47.140625" hidden="1" customWidth="1" outlineLevel="1"/>
    <col min="42" max="42" width="9.140625" hidden="1" customWidth="1" outlineLevel="1"/>
    <col min="43" max="43" width="15.28515625" hidden="1" customWidth="1" outlineLevel="1"/>
    <col min="44" max="44" width="9.140625" hidden="1" customWidth="1" outlineLevel="1"/>
    <col min="45" max="45" width="32.42578125" hidden="1" customWidth="1" outlineLevel="1"/>
    <col min="46" max="46" width="9.140625" hidden="1" customWidth="1" outlineLevel="1"/>
    <col min="47" max="48" width="11.28515625" hidden="1" customWidth="1" outlineLevel="1"/>
    <col min="49" max="49" width="22.28515625" hidden="1" customWidth="1" outlineLevel="1"/>
    <col min="50" max="50" width="9.140625" hidden="1" customWidth="1" outlineLevel="1"/>
    <col min="51" max="51" width="19" hidden="1" customWidth="1" outlineLevel="1"/>
    <col min="52" max="52" width="10.28515625" hidden="1" customWidth="1" outlineLevel="1"/>
    <col min="53" max="53" width="51.28515625" hidden="1" customWidth="1" outlineLevel="1"/>
    <col min="54" max="54" width="9.140625" collapsed="1"/>
  </cols>
  <sheetData>
    <row r="1" spans="1:53" s="3" customFormat="1" ht="20.100000000000001">
      <c r="A1" s="1" t="s">
        <v>240</v>
      </c>
      <c r="B1" s="2"/>
      <c r="C1" s="2"/>
      <c r="D1" s="2"/>
      <c r="E1" s="2"/>
      <c r="F1" s="2"/>
      <c r="G1" s="2"/>
      <c r="K1"/>
      <c r="L1"/>
      <c r="N1" s="5"/>
      <c r="AJ1"/>
      <c r="AK1"/>
      <c r="AL1"/>
      <c r="AM1"/>
      <c r="AN1"/>
      <c r="AO1"/>
      <c r="AP1"/>
      <c r="AQ1"/>
      <c r="AR1"/>
      <c r="AS1"/>
      <c r="AT1"/>
      <c r="AU1"/>
      <c r="AV1"/>
      <c r="AW1"/>
      <c r="AX1"/>
      <c r="AY1"/>
      <c r="AZ1"/>
      <c r="BA1"/>
    </row>
    <row r="2" spans="1:53" s="3" customFormat="1" ht="15.95">
      <c r="A2" s="6" t="s">
        <v>1</v>
      </c>
      <c r="C2" s="288" t="s">
        <v>2</v>
      </c>
      <c r="D2" s="6"/>
      <c r="E2" s="7"/>
      <c r="F2" s="2"/>
      <c r="J2"/>
      <c r="K2"/>
      <c r="M2" s="5"/>
      <c r="AJ2"/>
      <c r="AK2"/>
      <c r="AL2"/>
      <c r="AM2"/>
      <c r="AN2"/>
      <c r="AO2"/>
      <c r="AP2"/>
      <c r="AQ2"/>
      <c r="AR2"/>
      <c r="AS2"/>
      <c r="AT2"/>
      <c r="AU2"/>
      <c r="AV2"/>
      <c r="AW2"/>
      <c r="AX2"/>
      <c r="AY2"/>
      <c r="AZ2"/>
      <c r="BA2"/>
    </row>
    <row r="3" spans="1:53" s="3" customFormat="1" ht="15.95">
      <c r="A3" s="6" t="s">
        <v>3</v>
      </c>
      <c r="C3" s="8">
        <v>46199</v>
      </c>
      <c r="D3" s="8"/>
      <c r="E3" s="7"/>
      <c r="F3" s="2"/>
      <c r="J3"/>
      <c r="K3"/>
      <c r="M3" s="5"/>
      <c r="AJ3"/>
      <c r="AK3"/>
      <c r="AL3"/>
      <c r="AM3"/>
      <c r="AN3"/>
      <c r="AO3"/>
      <c r="AP3"/>
      <c r="AQ3"/>
      <c r="AR3"/>
      <c r="AS3"/>
      <c r="AT3"/>
      <c r="AU3"/>
      <c r="AV3"/>
      <c r="AW3"/>
      <c r="AX3"/>
      <c r="AY3"/>
      <c r="AZ3"/>
      <c r="BA3"/>
    </row>
    <row r="4" spans="1:53" s="3" customFormat="1" ht="15.95">
      <c r="A4" s="6" t="s">
        <v>4</v>
      </c>
      <c r="C4" s="358" t="s">
        <v>241</v>
      </c>
      <c r="D4" s="7"/>
      <c r="E4" s="7"/>
      <c r="F4" s="2"/>
      <c r="J4"/>
      <c r="K4"/>
      <c r="M4" s="5"/>
      <c r="AJ4"/>
      <c r="AK4"/>
      <c r="AL4"/>
      <c r="AM4"/>
      <c r="AN4"/>
      <c r="AO4"/>
      <c r="AP4"/>
      <c r="AQ4"/>
      <c r="AR4"/>
      <c r="AS4"/>
      <c r="AT4"/>
      <c r="AU4"/>
      <c r="AV4"/>
      <c r="AW4"/>
      <c r="AX4"/>
      <c r="AY4"/>
      <c r="AZ4"/>
      <c r="BA4"/>
    </row>
    <row r="5" spans="1:53" s="3" customFormat="1" ht="17.100000000000001" thickBot="1">
      <c r="A5" s="6"/>
      <c r="B5" s="7"/>
      <c r="C5" s="7"/>
      <c r="D5" s="7"/>
      <c r="E5" s="7"/>
      <c r="F5" s="2"/>
      <c r="J5"/>
      <c r="K5"/>
      <c r="M5" s="5"/>
    </row>
    <row r="6" spans="1:53" s="3" customFormat="1" ht="20.25" customHeight="1">
      <c r="A6" s="382" t="s">
        <v>242</v>
      </c>
      <c r="B6" s="383"/>
      <c r="C6" s="383"/>
      <c r="D6" s="7"/>
      <c r="E6" s="253" t="s">
        <v>6</v>
      </c>
      <c r="J6"/>
      <c r="K6"/>
      <c r="M6" s="9"/>
    </row>
    <row r="7" spans="1:53" s="3" customFormat="1" ht="20.25" customHeight="1" thickBot="1">
      <c r="A7" s="7"/>
      <c r="B7" s="7"/>
      <c r="C7" s="7"/>
      <c r="D7" s="7"/>
      <c r="E7" s="254" t="s">
        <v>7</v>
      </c>
      <c r="I7" s="4"/>
    </row>
    <row r="8" spans="1:53" s="3" customFormat="1" ht="20.25" customHeight="1" thickBot="1">
      <c r="A8"/>
      <c r="B8"/>
      <c r="C8"/>
      <c r="D8"/>
      <c r="E8"/>
      <c r="J8"/>
      <c r="K8"/>
    </row>
    <row r="9" spans="1:53" ht="60" customHeight="1">
      <c r="B9" s="77" t="s">
        <v>8</v>
      </c>
      <c r="C9" s="78" t="s">
        <v>9</v>
      </c>
      <c r="D9" s="78" t="s">
        <v>10</v>
      </c>
      <c r="E9" s="79" t="s">
        <v>11</v>
      </c>
      <c r="F9" s="79" t="s">
        <v>243</v>
      </c>
      <c r="G9" s="79" t="s">
        <v>244</v>
      </c>
      <c r="H9" s="351" t="s">
        <v>245</v>
      </c>
      <c r="I9" s="80" t="s">
        <v>246</v>
      </c>
      <c r="K9" s="26" t="s">
        <v>16</v>
      </c>
      <c r="L9" s="27" t="s">
        <v>17</v>
      </c>
      <c r="M9" s="27" t="s">
        <v>18</v>
      </c>
      <c r="N9" s="27" t="s">
        <v>19</v>
      </c>
      <c r="O9" s="27" t="s">
        <v>20</v>
      </c>
      <c r="P9" s="25" t="s">
        <v>21</v>
      </c>
      <c r="Q9" s="28"/>
      <c r="R9" s="29" t="s">
        <v>247</v>
      </c>
      <c r="S9" s="29" t="s">
        <v>248</v>
      </c>
      <c r="AC9" s="291"/>
    </row>
    <row r="10" spans="1:53" ht="33" customHeight="1">
      <c r="B10" s="81" t="s">
        <v>249</v>
      </c>
      <c r="C10" s="18"/>
      <c r="D10" s="18"/>
      <c r="E10" s="88" t="s">
        <v>250</v>
      </c>
      <c r="F10" s="36"/>
      <c r="G10" s="85"/>
      <c r="H10" s="85"/>
      <c r="I10" s="266"/>
      <c r="K10" s="31" t="s">
        <v>251</v>
      </c>
      <c r="L10" s="32">
        <v>90</v>
      </c>
      <c r="M10" s="33" t="s">
        <v>252</v>
      </c>
      <c r="N10" s="34">
        <v>0.9</v>
      </c>
      <c r="O10" s="89"/>
      <c r="P10" s="10"/>
      <c r="Q10" s="28"/>
      <c r="R10" s="29"/>
      <c r="S10" s="29"/>
      <c r="AC10" s="291"/>
    </row>
    <row r="11" spans="1:53" ht="45" customHeight="1">
      <c r="B11" s="81" t="s">
        <v>253</v>
      </c>
      <c r="C11" s="18"/>
      <c r="D11" s="18"/>
      <c r="E11" s="88" t="s">
        <v>254</v>
      </c>
      <c r="F11" s="36"/>
      <c r="G11" s="85"/>
      <c r="H11" s="85"/>
      <c r="I11" s="321" t="s">
        <v>255</v>
      </c>
      <c r="J11" s="30"/>
      <c r="K11" s="322" t="s">
        <v>256</v>
      </c>
      <c r="L11" s="87">
        <f>100-E23</f>
        <v>78</v>
      </c>
      <c r="M11" s="17"/>
      <c r="N11" s="17"/>
      <c r="O11" s="17"/>
      <c r="P11" s="12"/>
      <c r="Q11" s="291"/>
      <c r="R11" s="24"/>
      <c r="S11" s="24"/>
    </row>
    <row r="12" spans="1:53" ht="38.25" customHeight="1">
      <c r="B12" s="81" t="s">
        <v>257</v>
      </c>
      <c r="C12" s="18"/>
      <c r="D12" s="18"/>
      <c r="E12" s="294" t="s">
        <v>250</v>
      </c>
      <c r="F12" s="36"/>
      <c r="G12" s="85"/>
      <c r="H12" s="85"/>
      <c r="I12" s="321" t="s">
        <v>258</v>
      </c>
      <c r="J12" s="30"/>
      <c r="Q12" s="291"/>
      <c r="R12" s="24"/>
      <c r="S12" s="24"/>
    </row>
    <row r="13" spans="1:53" ht="30.75" hidden="1" customHeight="1">
      <c r="B13" s="81" t="s">
        <v>259</v>
      </c>
      <c r="C13" s="18" t="s">
        <v>260</v>
      </c>
      <c r="D13" s="18" t="s">
        <v>27</v>
      </c>
      <c r="E13" s="76">
        <v>20</v>
      </c>
      <c r="F13" s="296"/>
      <c r="G13" s="85"/>
      <c r="H13" s="85"/>
      <c r="I13" s="266"/>
      <c r="K13" s="322" t="str">
        <f>B13</f>
        <v>Desintegration time used (informative)</v>
      </c>
      <c r="L13" s="38">
        <v>20</v>
      </c>
      <c r="M13" s="323">
        <v>10</v>
      </c>
      <c r="N13" s="324">
        <v>0</v>
      </c>
      <c r="O13" s="39"/>
      <c r="P13" s="40"/>
      <c r="Q13" s="291"/>
      <c r="R13" s="37">
        <f>G13</f>
        <v>0</v>
      </c>
      <c r="S13" s="24">
        <f>H13</f>
        <v>0</v>
      </c>
    </row>
    <row r="14" spans="1:53" ht="30.75" customHeight="1">
      <c r="B14" s="292" t="s">
        <v>32</v>
      </c>
      <c r="C14" s="155" t="s">
        <v>33</v>
      </c>
      <c r="D14" s="155" t="s">
        <v>34</v>
      </c>
      <c r="E14" s="293">
        <v>20</v>
      </c>
      <c r="F14" s="17"/>
      <c r="G14" s="295"/>
      <c r="H14" s="85"/>
      <c r="I14" s="386" t="s">
        <v>261</v>
      </c>
      <c r="J14" s="30"/>
      <c r="S14" s="291"/>
      <c r="AC14" s="291"/>
    </row>
    <row r="15" spans="1:53" ht="30.75" customHeight="1">
      <c r="B15" s="81" t="s">
        <v>39</v>
      </c>
      <c r="C15" s="18" t="s">
        <v>40</v>
      </c>
      <c r="D15" s="18" t="s">
        <v>34</v>
      </c>
      <c r="E15" s="72">
        <v>5</v>
      </c>
      <c r="F15" s="73"/>
      <c r="G15" s="85"/>
      <c r="H15" s="85"/>
      <c r="I15" s="387"/>
      <c r="Q15" s="35"/>
      <c r="S15" s="291"/>
      <c r="AC15" s="291"/>
    </row>
    <row r="16" spans="1:53" ht="30.75" customHeight="1">
      <c r="B16" s="81" t="s">
        <v>42</v>
      </c>
      <c r="C16" s="18" t="s">
        <v>43</v>
      </c>
      <c r="D16" s="18" t="s">
        <v>34</v>
      </c>
      <c r="E16" s="93">
        <f>F16</f>
        <v>75.5</v>
      </c>
      <c r="F16" s="36">
        <f>100-(E14+E15*N10)</f>
        <v>75.5</v>
      </c>
      <c r="G16" s="86" t="str">
        <f>IF(E10="no",IF(F16&lt;L16,"Knockout",F16),"")</f>
        <v/>
      </c>
      <c r="H16" s="86">
        <f>IF(E10="yes",IF(F16&lt;L16,"Knockout",F16),"")</f>
        <v>75.5</v>
      </c>
      <c r="I16" s="387"/>
      <c r="K16" s="322" t="s">
        <v>262</v>
      </c>
      <c r="L16" s="319">
        <v>50</v>
      </c>
      <c r="M16" s="323">
        <v>100</v>
      </c>
      <c r="N16" s="74" t="str">
        <f>IF(E11="yes","Total recovered paper fibres [wt%] (=100 - CR - "&amp;N10&amp;" *FR)","Total recovered paper fibres [wt%] (=100 - CR - "&amp;N10&amp;" *FR)" )</f>
        <v>Total recovered paper fibres [wt%] (=100 - CR - 0.9 *FR)</v>
      </c>
      <c r="O16" s="17"/>
      <c r="P16" s="12"/>
      <c r="R16" s="37" t="str">
        <f t="shared" ref="R16:S20" si="0">G16</f>
        <v/>
      </c>
      <c r="S16" s="24">
        <f>H16</f>
        <v>75.5</v>
      </c>
      <c r="AC16" s="291"/>
    </row>
    <row r="17" spans="1:39" ht="36.75" customHeight="1">
      <c r="B17" s="81" t="str">
        <f>IF(E11="no","Coarse reject","Theoretical recyclable rejects")</f>
        <v>Coarse reject</v>
      </c>
      <c r="C17" s="18" t="str">
        <f>IF(E10="yes",IF(E11="yes","RR","CR"),"")</f>
        <v>CR</v>
      </c>
      <c r="D17" s="18" t="s">
        <v>34</v>
      </c>
      <c r="E17" s="75">
        <f>IF(E10="yes",IF(AND(E10="yes",E11="yes",E12="yes"),E23,E14),0)</f>
        <v>20</v>
      </c>
      <c r="F17" s="36">
        <f>IF(AND(A6=K45,E12="yes"),E17,0)</f>
        <v>20</v>
      </c>
      <c r="G17" s="85"/>
      <c r="H17" s="86">
        <f>IF(E10="yes",IF(E17&gt;(E14+E15),"check rejects",F17),"")</f>
        <v>20</v>
      </c>
      <c r="I17" s="388" t="s">
        <v>263</v>
      </c>
      <c r="K17" s="389" t="s">
        <v>264</v>
      </c>
      <c r="L17" s="381">
        <v>3</v>
      </c>
      <c r="M17" s="390">
        <v>1</v>
      </c>
      <c r="N17" s="391">
        <f>E14*P17</f>
        <v>6</v>
      </c>
      <c r="O17" s="392" t="s">
        <v>265</v>
      </c>
      <c r="P17" s="399">
        <v>0.3</v>
      </c>
      <c r="Q17" s="316"/>
      <c r="R17" s="37">
        <f t="shared" si="0"/>
        <v>0</v>
      </c>
      <c r="S17" s="24">
        <f t="shared" si="0"/>
        <v>20</v>
      </c>
      <c r="AC17" s="291"/>
    </row>
    <row r="18" spans="1:39" ht="32.1">
      <c r="B18" s="81" t="s">
        <v>266</v>
      </c>
      <c r="C18" s="18" t="s">
        <v>267</v>
      </c>
      <c r="D18" s="18" t="s">
        <v>268</v>
      </c>
      <c r="E18" s="76">
        <v>2</v>
      </c>
      <c r="F18" s="36">
        <f>IF(AND(E12="yes",E11="yes"),0,-(E18-M17)/(L17-M17)*N17)</f>
        <v>-3</v>
      </c>
      <c r="G18" s="86" t="str">
        <f>IF(E10="no",IF(H18="Knockout","Knockout",""),"")</f>
        <v/>
      </c>
      <c r="H18" s="86">
        <f>IF(E10="yes",IF(F17=0,0,IF(E18&gt;L17,"Knockout",IF(E18&lt;M17,0,ROUND(IF(F18&gt;N17,N17,IF(F18&lt;-N17,-N17,F18)),0)))),"")</f>
        <v>-3</v>
      </c>
      <c r="I18" s="388"/>
      <c r="K18" s="389"/>
      <c r="L18" s="381"/>
      <c r="M18" s="390"/>
      <c r="N18" s="391"/>
      <c r="O18" s="392"/>
      <c r="P18" s="399"/>
      <c r="Q18" s="316"/>
      <c r="R18" s="37" t="str">
        <f t="shared" si="0"/>
        <v/>
      </c>
      <c r="S18" s="24">
        <f t="shared" si="0"/>
        <v>-3</v>
      </c>
      <c r="AC18" s="291"/>
    </row>
    <row r="19" spans="1:39" ht="30.75" customHeight="1">
      <c r="B19" s="81" t="s">
        <v>65</v>
      </c>
      <c r="C19" s="18" t="s">
        <v>66</v>
      </c>
      <c r="D19" s="18" t="s">
        <v>67</v>
      </c>
      <c r="E19" s="76">
        <v>1</v>
      </c>
      <c r="F19" s="36">
        <f>-(E19-M19)/(L19-M19)*N19</f>
        <v>0</v>
      </c>
      <c r="G19" s="86" t="str">
        <f>IF(E10="no",IF(E19&gt;L19,"Knockout",IF(E19&lt;=M19,0,F19)),"")</f>
        <v/>
      </c>
      <c r="H19" s="86">
        <f>IF(E10="yes",IF(E19&gt;L19,"Knockout",IF(E19&lt;=M19,0,F19)),"")</f>
        <v>0</v>
      </c>
      <c r="I19" s="388" t="str">
        <f>"Pulp quality after 10 or "&amp;E13&amp;" minutes pulping time"</f>
        <v>Pulp quality after 10 or 20 minutes pulping time</v>
      </c>
      <c r="K19" s="322" t="str">
        <f>B19</f>
        <v>Visual impurities</v>
      </c>
      <c r="L19" s="319">
        <v>3</v>
      </c>
      <c r="M19" s="41">
        <v>1</v>
      </c>
      <c r="N19" s="324">
        <v>0</v>
      </c>
      <c r="O19" s="39"/>
      <c r="P19" s="40"/>
      <c r="R19" s="37" t="str">
        <f t="shared" si="0"/>
        <v/>
      </c>
      <c r="S19" s="24">
        <f t="shared" si="0"/>
        <v>0</v>
      </c>
    </row>
    <row r="20" spans="1:39" ht="30.75" customHeight="1">
      <c r="A20" s="29"/>
      <c r="B20" s="81" t="s">
        <v>269</v>
      </c>
      <c r="C20" s="18" t="s">
        <v>58</v>
      </c>
      <c r="D20" s="18" t="s">
        <v>59</v>
      </c>
      <c r="E20" s="76">
        <v>1</v>
      </c>
      <c r="F20" s="36">
        <f>-(E20-M20)/(L20-M20)*N20</f>
        <v>0</v>
      </c>
      <c r="G20" s="86" t="str">
        <f>IF(E10="no",IF(E20&gt;L20,"Knockout",IF(E20&lt;M20,0,F20)),"")</f>
        <v/>
      </c>
      <c r="H20" s="86">
        <f>IF(E10="yes",IF(E20&gt;L20,"Knockout",IF(E20&lt;M20,0,F20)),"")</f>
        <v>0</v>
      </c>
      <c r="I20" s="388"/>
      <c r="K20" s="322" t="str">
        <f>B20</f>
        <v xml:space="preserve">Sheet adhesion </v>
      </c>
      <c r="L20" s="38">
        <v>2</v>
      </c>
      <c r="M20" s="42">
        <v>1</v>
      </c>
      <c r="N20" s="324">
        <v>0</v>
      </c>
      <c r="O20" s="11"/>
      <c r="P20" s="90" t="s">
        <v>270</v>
      </c>
      <c r="R20" s="24" t="str">
        <f t="shared" si="0"/>
        <v/>
      </c>
      <c r="S20" s="24">
        <f t="shared" si="0"/>
        <v>0</v>
      </c>
    </row>
    <row r="21" spans="1:39" ht="30.75" customHeight="1">
      <c r="B21" s="81" t="s">
        <v>271</v>
      </c>
      <c r="C21" s="18" t="s">
        <v>272</v>
      </c>
      <c r="D21" s="18" t="s">
        <v>34</v>
      </c>
      <c r="E21" s="72">
        <v>10</v>
      </c>
      <c r="F21" s="36" t="str">
        <f>IF(E21&gt;L21,"","tbd")</f>
        <v>tbd</v>
      </c>
      <c r="G21" s="86" t="str">
        <f>IF(E10="no",IF(E21&gt;L21,"Knockout",N21),"")</f>
        <v/>
      </c>
      <c r="H21" s="86">
        <f>IF(E10="yes",IF(E21&gt;L21,"Knockout",N21),"")</f>
        <v>0</v>
      </c>
      <c r="I21" s="388"/>
      <c r="J21" s="30"/>
      <c r="K21" s="19" t="str">
        <f>B21</f>
        <v>Ash content</v>
      </c>
      <c r="L21" s="43">
        <v>11.672724530055818</v>
      </c>
      <c r="M21" s="42" t="s">
        <v>273</v>
      </c>
      <c r="N21" s="324">
        <v>0</v>
      </c>
      <c r="O21" s="11"/>
      <c r="P21" s="91">
        <f>L10</f>
        <v>90</v>
      </c>
      <c r="R21" s="24" t="str">
        <f>G21</f>
        <v/>
      </c>
      <c r="S21" s="24">
        <f>H21</f>
        <v>0</v>
      </c>
    </row>
    <row r="22" spans="1:39" ht="30.75" customHeight="1" thickBot="1">
      <c r="B22" s="81" t="s">
        <v>274</v>
      </c>
      <c r="C22" s="18" t="s">
        <v>275</v>
      </c>
      <c r="D22" s="18" t="s">
        <v>276</v>
      </c>
      <c r="E22" s="72">
        <v>40</v>
      </c>
      <c r="F22" s="36" t="str">
        <f>IF(E22&lt;L22,"","tbd")</f>
        <v>tbd</v>
      </c>
      <c r="G22" s="86" t="str">
        <f>IF(E10="no",IF(E22&lt;L22,"Knockout",N22),"")</f>
        <v/>
      </c>
      <c r="H22" s="86">
        <f>IF(E10="yes",IF(E22&lt;L22,"Knockout",N22),"")</f>
        <v>0</v>
      </c>
      <c r="I22" s="388"/>
      <c r="J22" s="30"/>
      <c r="K22" s="22" t="str">
        <f>B22</f>
        <v xml:space="preserve">Tensile index </v>
      </c>
      <c r="L22" s="44">
        <v>25.8</v>
      </c>
      <c r="M22" s="45" t="s">
        <v>273</v>
      </c>
      <c r="N22" s="46">
        <v>0</v>
      </c>
      <c r="O22" s="14"/>
      <c r="P22" s="92">
        <v>0</v>
      </c>
      <c r="Q22" s="291"/>
      <c r="R22" s="24" t="str">
        <f>G22</f>
        <v/>
      </c>
      <c r="S22" s="24">
        <f>H22</f>
        <v>0</v>
      </c>
    </row>
    <row r="23" spans="1:39" ht="38.25" customHeight="1" thickBot="1">
      <c r="B23" s="82" t="s">
        <v>277</v>
      </c>
      <c r="C23" s="83" t="s">
        <v>278</v>
      </c>
      <c r="D23" s="83" t="s">
        <v>34</v>
      </c>
      <c r="E23" s="297">
        <v>22</v>
      </c>
      <c r="F23" s="84"/>
      <c r="G23" s="298"/>
      <c r="H23" s="298"/>
      <c r="I23" s="267" t="s">
        <v>279</v>
      </c>
      <c r="J23" s="30"/>
      <c r="K23" s="50" t="s">
        <v>74</v>
      </c>
      <c r="L23" s="21" t="s">
        <v>280</v>
      </c>
      <c r="M23" s="51" t="s">
        <v>281</v>
      </c>
      <c r="N23" s="52" t="s">
        <v>77</v>
      </c>
      <c r="Q23" s="291"/>
      <c r="R23" s="24"/>
      <c r="S23" s="24"/>
    </row>
    <row r="24" spans="1:39" ht="15.95" thickBot="1"/>
    <row r="25" spans="1:39" ht="48" hidden="1" customHeight="1" outlineLevel="1">
      <c r="B25" s="47" t="s">
        <v>282</v>
      </c>
      <c r="C25" s="20"/>
      <c r="D25" s="20"/>
      <c r="E25" s="20"/>
      <c r="F25" s="20"/>
      <c r="G25" s="48" t="e">
        <f>IF(SMALL(G18:G22,1)&lt;0,SUMIF(G18:G22,"&lt;0",G18:G22),SUM(G18:G22))</f>
        <v>#NUM!</v>
      </c>
      <c r="H25" s="49">
        <f>IF(SMALL(H18:H22,1)&lt;0,SUMIF(H18:H22,"&lt;0",H18:H22),SUM(H18:H22))</f>
        <v>-3</v>
      </c>
      <c r="I25" s="60"/>
      <c r="J25" s="30"/>
      <c r="P25" s="291"/>
      <c r="Q25" s="291"/>
      <c r="S25" s="53"/>
      <c r="T25" s="291"/>
    </row>
    <row r="26" spans="1:39" ht="22.35" hidden="1" customHeight="1" outlineLevel="1">
      <c r="B26" s="54" t="s">
        <v>283</v>
      </c>
      <c r="C26" s="29"/>
      <c r="D26" s="29"/>
      <c r="E26" s="20"/>
      <c r="F26" s="20"/>
      <c r="G26" s="55">
        <f>SUM(G16:G22)</f>
        <v>0</v>
      </c>
      <c r="H26" s="56">
        <f>SUM(H16:H22)</f>
        <v>92.5</v>
      </c>
      <c r="I26" s="60"/>
      <c r="J26" s="30"/>
      <c r="P26" s="291"/>
      <c r="Q26" s="291"/>
      <c r="S26" s="53"/>
    </row>
    <row r="27" spans="1:39" ht="23.45" hidden="1" customHeight="1" outlineLevel="1" thickBot="1">
      <c r="B27" s="258" t="s">
        <v>284</v>
      </c>
      <c r="C27" s="20"/>
      <c r="D27" s="20"/>
      <c r="G27" s="259">
        <f>COUNTIF(G16:G22,"Knockout")</f>
        <v>0</v>
      </c>
      <c r="H27" s="255">
        <f>COUNTIF(H16:H22,"Knockout")</f>
        <v>0</v>
      </c>
      <c r="I27" s="268"/>
      <c r="S27" s="53"/>
    </row>
    <row r="28" spans="1:39" ht="63.75" customHeight="1" collapsed="1" thickBot="1">
      <c r="B28" s="260" t="s">
        <v>72</v>
      </c>
      <c r="C28" s="261"/>
      <c r="D28" s="393" t="str">
        <f>IF(ISTEXT(H28),K52,K51)</f>
        <v>Technically recyclable in a paper mill with specialised process (LPC).</v>
      </c>
      <c r="E28" s="394"/>
      <c r="F28" s="262"/>
      <c r="G28" s="263" t="str">
        <f>IF(E10="no",IF(OR(L11&lt;L16,G16="Knockout",G18="Knockout",G19="Knockout",G20="Knockout",G21="Knockout",G22="Knockout",SUM(G16:G22)&lt;0),"Knockout",SUM(G16:G22)),"")</f>
        <v/>
      </c>
      <c r="H28" s="263">
        <f>IF(E10="yes",IF(OR(G28="not suitable",H16="Knockout",H18="Knockout",H19="Knockout",H20="Knockout",H21="Knockout",H22="Knockout",E12="no"),"Knockout",IF(H17="check rejects","check rejects",SUM(H16:H22))),"")</f>
        <v>92.5</v>
      </c>
      <c r="I28" s="269" t="s">
        <v>73</v>
      </c>
      <c r="P28" s="57"/>
      <c r="Q28" s="57"/>
      <c r="S28" s="53"/>
    </row>
    <row r="29" spans="1:39" ht="75.75" customHeight="1" thickBot="1">
      <c r="B29" s="58"/>
      <c r="C29" s="58"/>
      <c r="D29" s="264" t="str">
        <f>IF(E11="no","No additional white box information","White box information: fibres recovered (≥90%)")</f>
        <v>No additional white box information</v>
      </c>
      <c r="E29" s="265" t="str">
        <f>IF(E11="no","",E16/(100-E23))</f>
        <v/>
      </c>
      <c r="F29" s="59"/>
      <c r="G29" s="60" t="str">
        <f>IF(E10="no",IF($E$12="no",$K$50,""),"")</f>
        <v/>
      </c>
      <c r="H29" s="60" t="str">
        <f>IF(E10="yes",IF($E$12="no",$K$50,""),"")</f>
        <v/>
      </c>
      <c r="S29" s="53"/>
    </row>
    <row r="30" spans="1:39" ht="48">
      <c r="B30" s="58"/>
      <c r="C30" s="58"/>
      <c r="D30" s="289" t="s">
        <v>285</v>
      </c>
      <c r="E30" s="290" t="s">
        <v>286</v>
      </c>
      <c r="F30" s="59"/>
      <c r="M30" s="53"/>
    </row>
    <row r="31" spans="1:39" ht="14.45" customHeight="1"/>
    <row r="32" spans="1:39" ht="24" customHeight="1" thickBot="1">
      <c r="B32" s="359" t="s">
        <v>82</v>
      </c>
      <c r="C32" s="359"/>
      <c r="D32" s="359"/>
      <c r="E32" s="359"/>
      <c r="F32" s="359"/>
      <c r="G32" s="359"/>
      <c r="H32" s="359"/>
      <c r="I32" s="359"/>
      <c r="J32" s="345"/>
      <c r="AJ32" s="3"/>
      <c r="AM32" s="286"/>
    </row>
    <row r="33" spans="2:53" ht="24" customHeight="1">
      <c r="B33" s="94" t="s">
        <v>8</v>
      </c>
      <c r="C33" s="95" t="s">
        <v>9</v>
      </c>
      <c r="D33" s="95" t="s">
        <v>10</v>
      </c>
      <c r="E33" s="96" t="s">
        <v>11</v>
      </c>
      <c r="F33" s="94" t="s">
        <v>12</v>
      </c>
      <c r="G33" s="94" t="s">
        <v>13</v>
      </c>
      <c r="H33" s="94" t="s">
        <v>14</v>
      </c>
      <c r="I33" s="94" t="s">
        <v>15</v>
      </c>
      <c r="J33" s="345"/>
      <c r="AJ33" s="3"/>
      <c r="AM33" s="286"/>
    </row>
    <row r="34" spans="2:53" ht="15.95">
      <c r="B34" s="114" t="s">
        <v>87</v>
      </c>
      <c r="C34" s="155" t="s">
        <v>88</v>
      </c>
      <c r="D34" s="155" t="s">
        <v>287</v>
      </c>
      <c r="E34" s="346">
        <v>60000</v>
      </c>
      <c r="F34" s="296">
        <f>ROUND(IF(E34&lt;L34,0,IF(E34&lt;=M34,-20*(LOG(E34)-LOG(L34))/(LOG(M34)-LOG(L34)),N34)),0)</f>
        <v>-20</v>
      </c>
      <c r="G34" s="347">
        <f>F34</f>
        <v>-20</v>
      </c>
      <c r="H34" s="13" t="s">
        <v>288</v>
      </c>
      <c r="I34" s="18" t="s">
        <v>91</v>
      </c>
      <c r="K34" s="119" t="s">
        <v>289</v>
      </c>
      <c r="L34" s="123">
        <v>10000</v>
      </c>
      <c r="M34" s="124">
        <v>50000</v>
      </c>
      <c r="N34" s="125">
        <v>-20</v>
      </c>
      <c r="AJ34" s="406" t="s">
        <v>290</v>
      </c>
      <c r="AK34" s="408" t="s">
        <v>291</v>
      </c>
      <c r="AL34" s="275"/>
      <c r="AM34" s="410"/>
      <c r="AN34" s="410"/>
      <c r="AO34" s="410"/>
      <c r="AP34" s="410"/>
      <c r="AQ34" s="410"/>
      <c r="AR34" s="410"/>
      <c r="AS34" s="410"/>
      <c r="AT34" s="410"/>
      <c r="AU34" s="410"/>
      <c r="AV34" s="410"/>
      <c r="AW34" s="410"/>
      <c r="AX34" s="410"/>
      <c r="AY34" s="410"/>
      <c r="AZ34" s="410"/>
      <c r="BA34" s="410"/>
    </row>
    <row r="35" spans="2:53" ht="15.95" thickBot="1">
      <c r="H35" s="23"/>
      <c r="AJ35" s="407"/>
      <c r="AK35" s="409"/>
      <c r="AL35" s="275"/>
      <c r="AM35" s="411" t="s">
        <v>292</v>
      </c>
      <c r="AN35" s="412"/>
      <c r="AO35" s="413"/>
      <c r="AP35" s="414"/>
      <c r="AQ35" s="417" t="s">
        <v>65</v>
      </c>
      <c r="AR35" s="418"/>
      <c r="AS35" s="419"/>
      <c r="AT35" s="414"/>
      <c r="AU35" s="417" t="s">
        <v>57</v>
      </c>
      <c r="AV35" s="418"/>
      <c r="AW35" s="419"/>
      <c r="AX35" s="415"/>
      <c r="AY35" s="417" t="s">
        <v>293</v>
      </c>
      <c r="AZ35" s="418"/>
      <c r="BA35" s="419"/>
    </row>
    <row r="36" spans="2:53" ht="14.45" customHeight="1" thickBot="1">
      <c r="H36" s="23"/>
      <c r="AJ36" s="406" t="s">
        <v>294</v>
      </c>
      <c r="AK36" s="276" t="s">
        <v>295</v>
      </c>
      <c r="AL36" s="275"/>
      <c r="AM36" s="277" t="s">
        <v>131</v>
      </c>
      <c r="AN36" s="278" t="s">
        <v>77</v>
      </c>
      <c r="AO36" s="278" t="s">
        <v>25</v>
      </c>
      <c r="AP36" s="414"/>
      <c r="AQ36" s="279" t="s">
        <v>131</v>
      </c>
      <c r="AR36" s="279" t="s">
        <v>77</v>
      </c>
      <c r="AS36" s="278" t="s">
        <v>25</v>
      </c>
      <c r="AT36" s="414"/>
      <c r="AU36" s="279" t="s">
        <v>131</v>
      </c>
      <c r="AV36" s="279" t="s">
        <v>77</v>
      </c>
      <c r="AW36" s="278" t="s">
        <v>25</v>
      </c>
      <c r="AX36" s="415"/>
      <c r="AY36" s="325" t="s">
        <v>296</v>
      </c>
      <c r="AZ36" s="325" t="s">
        <v>77</v>
      </c>
      <c r="BA36" s="278" t="s">
        <v>25</v>
      </c>
    </row>
    <row r="37" spans="2:53">
      <c r="H37" s="23"/>
      <c r="AJ37" s="422"/>
      <c r="AK37" s="397" t="s">
        <v>297</v>
      </c>
      <c r="AL37" s="275"/>
      <c r="AM37" s="395" t="s">
        <v>298</v>
      </c>
      <c r="AN37" s="395">
        <v>0</v>
      </c>
      <c r="AO37" s="395" t="s">
        <v>299</v>
      </c>
      <c r="AP37" s="415"/>
      <c r="AQ37" s="397" t="s">
        <v>298</v>
      </c>
      <c r="AR37" s="397">
        <v>0</v>
      </c>
      <c r="AS37" s="397" t="s">
        <v>300</v>
      </c>
      <c r="AT37" s="420"/>
      <c r="AU37" s="400" t="s">
        <v>298</v>
      </c>
      <c r="AV37" s="403">
        <v>0</v>
      </c>
      <c r="AW37" s="403" t="s">
        <v>301</v>
      </c>
      <c r="AX37" s="420"/>
      <c r="AY37" s="400" t="s">
        <v>302</v>
      </c>
      <c r="AZ37" s="403">
        <v>0</v>
      </c>
      <c r="BA37" s="403" t="s">
        <v>303</v>
      </c>
    </row>
    <row r="38" spans="2:53" ht="15.95" thickBot="1">
      <c r="AJ38" s="422"/>
      <c r="AK38" s="423"/>
      <c r="AL38" s="275"/>
      <c r="AM38" s="396"/>
      <c r="AN38" s="396"/>
      <c r="AO38" s="396"/>
      <c r="AP38" s="415"/>
      <c r="AQ38" s="398"/>
      <c r="AR38" s="398"/>
      <c r="AS38" s="398"/>
      <c r="AT38" s="420"/>
      <c r="AU38" s="401"/>
      <c r="AV38" s="404"/>
      <c r="AW38" s="404"/>
      <c r="AX38" s="420"/>
      <c r="AY38" s="401"/>
      <c r="AZ38" s="404"/>
      <c r="BA38" s="404"/>
    </row>
    <row r="39" spans="2:53" ht="48.95" thickBot="1">
      <c r="AJ39" s="422"/>
      <c r="AK39" s="423"/>
      <c r="AL39" s="275"/>
      <c r="AM39" s="280" t="s">
        <v>304</v>
      </c>
      <c r="AN39" s="281" t="s">
        <v>305</v>
      </c>
      <c r="AO39" s="280" t="s">
        <v>306</v>
      </c>
      <c r="AP39" s="415"/>
      <c r="AQ39" s="282" t="s">
        <v>304</v>
      </c>
      <c r="AR39" s="282">
        <v>0</v>
      </c>
      <c r="AS39" s="282" t="s">
        <v>307</v>
      </c>
      <c r="AT39" s="420"/>
      <c r="AU39" s="402"/>
      <c r="AV39" s="405"/>
      <c r="AW39" s="405"/>
      <c r="AX39" s="420"/>
      <c r="AY39" s="402"/>
      <c r="AZ39" s="405"/>
      <c r="BA39" s="405"/>
    </row>
    <row r="40" spans="2:53">
      <c r="AJ40" s="422"/>
      <c r="AK40" s="423"/>
      <c r="AL40" s="275"/>
      <c r="AM40" s="395" t="s">
        <v>308</v>
      </c>
      <c r="AN40" s="425" t="s">
        <v>309</v>
      </c>
      <c r="AO40" s="395" t="s">
        <v>310</v>
      </c>
      <c r="AP40" s="415"/>
      <c r="AQ40" s="397" t="s">
        <v>308</v>
      </c>
      <c r="AR40" s="397">
        <v>0</v>
      </c>
      <c r="AS40" s="397" t="s">
        <v>311</v>
      </c>
      <c r="AT40" s="420"/>
      <c r="AU40" s="400" t="s">
        <v>304</v>
      </c>
      <c r="AV40" s="403">
        <v>0</v>
      </c>
      <c r="AW40" s="403" t="s">
        <v>312</v>
      </c>
      <c r="AX40" s="420"/>
      <c r="AY40" s="400" t="s">
        <v>313</v>
      </c>
      <c r="AZ40" s="403">
        <v>0</v>
      </c>
      <c r="BA40" s="403" t="s">
        <v>314</v>
      </c>
    </row>
    <row r="41" spans="2:53">
      <c r="AJ41" s="422"/>
      <c r="AK41" s="423"/>
      <c r="AL41" s="275"/>
      <c r="AM41" s="424"/>
      <c r="AN41" s="424"/>
      <c r="AO41" s="424"/>
      <c r="AP41" s="415"/>
      <c r="AQ41" s="423"/>
      <c r="AR41" s="423"/>
      <c r="AS41" s="423"/>
      <c r="AT41" s="420"/>
      <c r="AU41" s="401"/>
      <c r="AV41" s="404"/>
      <c r="AW41" s="404"/>
      <c r="AX41" s="420"/>
      <c r="AY41" s="401"/>
      <c r="AZ41" s="404"/>
      <c r="BA41" s="404"/>
    </row>
    <row r="42" spans="2:53" ht="54" customHeight="1" thickBot="1">
      <c r="AJ42" s="422"/>
      <c r="AK42" s="398"/>
      <c r="AL42" s="275"/>
      <c r="AM42" s="396"/>
      <c r="AN42" s="396"/>
      <c r="AO42" s="396"/>
      <c r="AP42" s="415"/>
      <c r="AQ42" s="398"/>
      <c r="AR42" s="398"/>
      <c r="AS42" s="398"/>
      <c r="AT42" s="420"/>
      <c r="AU42" s="402"/>
      <c r="AV42" s="405"/>
      <c r="AW42" s="405"/>
      <c r="AX42" s="420"/>
      <c r="AY42" s="402"/>
      <c r="AZ42" s="405"/>
      <c r="BA42" s="405"/>
    </row>
    <row r="43" spans="2:53" ht="81" thickBot="1">
      <c r="K43" s="344"/>
      <c r="L43" s="344"/>
      <c r="M43" s="67"/>
      <c r="P43" s="23"/>
      <c r="AJ43" s="407"/>
      <c r="AK43" s="283" t="s">
        <v>315</v>
      </c>
      <c r="AL43" s="275"/>
      <c r="AM43" s="284" t="s">
        <v>316</v>
      </c>
      <c r="AN43" s="284" t="s">
        <v>317</v>
      </c>
      <c r="AO43" s="284" t="s">
        <v>318</v>
      </c>
      <c r="AP43" s="416"/>
      <c r="AQ43" s="283" t="s">
        <v>316</v>
      </c>
      <c r="AR43" s="283" t="s">
        <v>317</v>
      </c>
      <c r="AS43" s="283" t="s">
        <v>319</v>
      </c>
      <c r="AT43" s="421"/>
      <c r="AU43" s="283" t="s">
        <v>308</v>
      </c>
      <c r="AV43" s="285" t="s">
        <v>317</v>
      </c>
      <c r="AW43" s="283" t="s">
        <v>320</v>
      </c>
      <c r="AX43" s="421"/>
      <c r="AY43" s="283" t="s">
        <v>321</v>
      </c>
      <c r="AZ43" s="285" t="s">
        <v>317</v>
      </c>
      <c r="BA43" s="283" t="s">
        <v>322</v>
      </c>
    </row>
    <row r="44" spans="2:53">
      <c r="K44" s="68" t="s">
        <v>323</v>
      </c>
      <c r="L44" s="68"/>
      <c r="M44" s="68"/>
      <c r="N44" s="291">
        <v>0</v>
      </c>
      <c r="O44" s="23" t="s">
        <v>250</v>
      </c>
      <c r="P44" s="23">
        <v>1</v>
      </c>
      <c r="Q44" s="23" t="s">
        <v>324</v>
      </c>
      <c r="R44" s="23">
        <v>0</v>
      </c>
    </row>
    <row r="45" spans="2:53">
      <c r="E45" s="291"/>
      <c r="K45" s="68" t="s">
        <v>242</v>
      </c>
      <c r="L45" s="68"/>
      <c r="M45" s="68"/>
      <c r="N45" s="291">
        <v>5</v>
      </c>
      <c r="O45" s="23" t="s">
        <v>254</v>
      </c>
      <c r="P45" s="23">
        <v>2</v>
      </c>
      <c r="Q45" s="23" t="s">
        <v>325</v>
      </c>
      <c r="R45" s="23">
        <v>10</v>
      </c>
    </row>
    <row r="46" spans="2:53">
      <c r="K46" t="s">
        <v>326</v>
      </c>
      <c r="N46" s="291">
        <v>10</v>
      </c>
      <c r="P46" s="23">
        <v>3</v>
      </c>
      <c r="Q46" s="23" t="s">
        <v>327</v>
      </c>
    </row>
    <row r="47" spans="2:53">
      <c r="N47" s="291">
        <v>20</v>
      </c>
      <c r="P47" s="23">
        <v>4</v>
      </c>
      <c r="Q47" s="23"/>
    </row>
    <row r="48" spans="2:53">
      <c r="L48" s="23"/>
      <c r="M48" s="23"/>
    </row>
    <row r="49" spans="11:15">
      <c r="K49" s="61" t="s">
        <v>228</v>
      </c>
      <c r="L49" s="70"/>
      <c r="M49" s="70"/>
    </row>
    <row r="50" spans="11:15">
      <c r="K50" s="64" t="s">
        <v>328</v>
      </c>
      <c r="L50" s="71"/>
      <c r="M50" s="71"/>
      <c r="N50" s="62"/>
      <c r="O50" s="63"/>
    </row>
    <row r="51" spans="11:15">
      <c r="K51" s="65" t="s">
        <v>329</v>
      </c>
      <c r="O51" s="66"/>
    </row>
    <row r="52" spans="11:15">
      <c r="K52" s="384" t="s">
        <v>330</v>
      </c>
      <c r="L52" s="385"/>
      <c r="M52" s="385"/>
      <c r="N52" s="428"/>
      <c r="O52" s="429"/>
    </row>
    <row r="53" spans="11:15">
      <c r="L53" s="23"/>
      <c r="M53" s="23"/>
    </row>
    <row r="54" spans="11:15">
      <c r="L54" s="23"/>
      <c r="M54" s="23"/>
    </row>
    <row r="55" spans="11:15">
      <c r="L55" s="23"/>
      <c r="M55" s="23"/>
    </row>
    <row r="56" spans="11:15">
      <c r="L56" s="23"/>
      <c r="M56" s="23"/>
    </row>
    <row r="57" spans="11:15">
      <c r="L57" s="23"/>
      <c r="M57" s="23"/>
    </row>
    <row r="58" spans="11:15">
      <c r="L58" s="23"/>
      <c r="M58" s="23"/>
    </row>
    <row r="59" spans="11:15">
      <c r="L59" s="23"/>
      <c r="M59" s="23"/>
    </row>
    <row r="60" spans="11:15">
      <c r="L60" s="23"/>
      <c r="M60" s="23"/>
    </row>
    <row r="61" spans="11:15">
      <c r="L61" s="23"/>
      <c r="M61" s="23"/>
    </row>
    <row r="62" spans="11:15">
      <c r="L62" s="23"/>
      <c r="M62" s="23"/>
    </row>
    <row r="63" spans="11:15">
      <c r="M63" s="23"/>
      <c r="N63" s="23"/>
    </row>
    <row r="64" spans="11:15">
      <c r="M64" s="23"/>
      <c r="N64" s="23"/>
    </row>
    <row r="65" spans="13:14">
      <c r="M65" s="23"/>
      <c r="N65" s="23"/>
    </row>
    <row r="66" spans="13:14">
      <c r="M66" s="23"/>
      <c r="N66" s="23"/>
    </row>
    <row r="67" spans="13:14">
      <c r="M67" s="23"/>
      <c r="N67" s="23"/>
    </row>
    <row r="68" spans="13:14">
      <c r="M68" s="23"/>
      <c r="N68" s="23"/>
    </row>
    <row r="69" spans="13:14">
      <c r="M69" s="23"/>
      <c r="N69" s="23"/>
    </row>
    <row r="70" spans="13:14">
      <c r="M70" s="23"/>
      <c r="N70" s="23"/>
    </row>
    <row r="71" spans="13:14">
      <c r="M71" s="23"/>
      <c r="N71" s="23"/>
    </row>
    <row r="72" spans="13:14">
      <c r="M72" s="23"/>
      <c r="N72" s="23"/>
    </row>
    <row r="73" spans="13:14">
      <c r="M73" s="23"/>
      <c r="N73" s="23"/>
    </row>
    <row r="74" spans="13:14">
      <c r="M74" s="23"/>
      <c r="N74" s="23"/>
    </row>
    <row r="75" spans="13:14">
      <c r="M75" s="23"/>
      <c r="N75" s="23"/>
    </row>
    <row r="76" spans="13:14">
      <c r="M76" s="23"/>
      <c r="N76" s="23"/>
    </row>
    <row r="77" spans="13:14">
      <c r="M77" s="23"/>
      <c r="N77" s="23"/>
    </row>
    <row r="78" spans="13:14">
      <c r="M78" s="23"/>
      <c r="N78" s="23"/>
    </row>
    <row r="79" spans="13:14">
      <c r="M79" s="23"/>
      <c r="N79" s="23"/>
    </row>
    <row r="80" spans="13:14">
      <c r="M80" s="23"/>
      <c r="N80" s="23"/>
    </row>
    <row r="81" spans="13:14">
      <c r="M81" s="23"/>
      <c r="N81" s="23"/>
    </row>
    <row r="82" spans="13:14">
      <c r="M82" s="23"/>
      <c r="N82" s="23"/>
    </row>
    <row r="83" spans="13:14">
      <c r="M83" s="23"/>
      <c r="N83" s="23"/>
    </row>
    <row r="84" spans="13:14">
      <c r="M84" s="23"/>
      <c r="N84" s="23"/>
    </row>
    <row r="85" spans="13:14">
      <c r="M85" s="23"/>
      <c r="N85" s="23"/>
    </row>
    <row r="86" spans="13:14">
      <c r="M86" s="23"/>
      <c r="N86" s="23"/>
    </row>
    <row r="87" spans="13:14">
      <c r="M87" s="23"/>
      <c r="N87" s="23"/>
    </row>
    <row r="88" spans="13:14">
      <c r="M88" s="23"/>
      <c r="N88" s="23"/>
    </row>
    <row r="89" spans="13:14">
      <c r="M89" s="23"/>
      <c r="N89" s="23"/>
    </row>
    <row r="90" spans="13:14">
      <c r="M90" s="23"/>
      <c r="N90" s="23"/>
    </row>
    <row r="91" spans="13:14">
      <c r="M91" s="23"/>
      <c r="N91" s="23"/>
    </row>
    <row r="92" spans="13:14">
      <c r="M92" s="23"/>
      <c r="N92" s="23"/>
    </row>
    <row r="93" spans="13:14">
      <c r="M93" s="23"/>
      <c r="N93" s="23"/>
    </row>
    <row r="94" spans="13:14">
      <c r="M94" s="23"/>
      <c r="N94" s="23"/>
    </row>
    <row r="95" spans="13:14">
      <c r="M95" s="23"/>
      <c r="N95" s="23"/>
    </row>
    <row r="96" spans="13:14">
      <c r="M96" s="23"/>
      <c r="N96" s="23"/>
    </row>
    <row r="97" spans="13:14">
      <c r="M97" s="23"/>
      <c r="N97" s="23"/>
    </row>
    <row r="98" spans="13:14">
      <c r="M98" s="23"/>
      <c r="N98" s="23"/>
    </row>
    <row r="99" spans="13:14">
      <c r="M99" s="23"/>
      <c r="N99" s="23"/>
    </row>
    <row r="100" spans="13:14">
      <c r="M100" s="23"/>
      <c r="N100" s="23"/>
    </row>
    <row r="101" spans="13:14">
      <c r="M101" s="23"/>
      <c r="N101" s="23"/>
    </row>
    <row r="102" spans="13:14">
      <c r="M102" s="23"/>
      <c r="N102" s="23"/>
    </row>
    <row r="103" spans="13:14">
      <c r="M103" s="23"/>
      <c r="N103" s="23"/>
    </row>
    <row r="104" spans="13:14">
      <c r="M104" s="23"/>
      <c r="N104" s="23"/>
    </row>
    <row r="105" spans="13:14">
      <c r="M105" s="23"/>
      <c r="N105" s="23"/>
    </row>
    <row r="106" spans="13:14">
      <c r="M106" s="23"/>
      <c r="N106" s="23"/>
    </row>
    <row r="107" spans="13:14">
      <c r="M107" s="23"/>
      <c r="N107" s="23"/>
    </row>
    <row r="108" spans="13:14">
      <c r="M108" s="23"/>
      <c r="N108" s="23"/>
    </row>
    <row r="109" spans="13:14">
      <c r="M109" s="23"/>
      <c r="N109" s="23"/>
    </row>
    <row r="110" spans="13:14">
      <c r="M110" s="23"/>
      <c r="N110" s="23"/>
    </row>
  </sheetData>
  <sheetProtection algorithmName="SHA-512" hashValue="7TG4QEDIilnm1sHf/hTnmfKefqbaM+HW4iamTLz3LDBRIxZxHzpSWGCGV+IQfHGZPSEAGer2uQzX7OZ+3xm1ag==" saltValue="gSMqLvntqwxeQ2vkN7VS2g==" spinCount="100000" sheet="1" objects="1" scenarios="1"/>
  <mergeCells count="49">
    <mergeCell ref="AY37:AY39"/>
    <mergeCell ref="AZ37:AZ39"/>
    <mergeCell ref="BA37:BA39"/>
    <mergeCell ref="AM40:AM42"/>
    <mergeCell ref="AN40:AN42"/>
    <mergeCell ref="AO40:AO42"/>
    <mergeCell ref="AQ40:AQ42"/>
    <mergeCell ref="AR40:AR42"/>
    <mergeCell ref="AS40:AS42"/>
    <mergeCell ref="AU40:AU42"/>
    <mergeCell ref="AV40:AV42"/>
    <mergeCell ref="AW40:AW42"/>
    <mergeCell ref="AY40:AY42"/>
    <mergeCell ref="AZ40:AZ42"/>
    <mergeCell ref="BA40:BA42"/>
    <mergeCell ref="AR37:AR38"/>
    <mergeCell ref="AS37:AS38"/>
    <mergeCell ref="AU37:AU39"/>
    <mergeCell ref="AV37:AV39"/>
    <mergeCell ref="AW37:AW39"/>
    <mergeCell ref="AJ34:AJ35"/>
    <mergeCell ref="AK34:AK35"/>
    <mergeCell ref="AM34:BA34"/>
    <mergeCell ref="AM35:AO35"/>
    <mergeCell ref="AP35:AP43"/>
    <mergeCell ref="AQ35:AS35"/>
    <mergeCell ref="AT35:AT43"/>
    <mergeCell ref="AU35:AW35"/>
    <mergeCell ref="AX35:AX43"/>
    <mergeCell ref="AY35:BA35"/>
    <mergeCell ref="AJ36:AJ43"/>
    <mergeCell ref="AK37:AK42"/>
    <mergeCell ref="AM37:AM38"/>
    <mergeCell ref="AN37:AN38"/>
    <mergeCell ref="AO37:AO38"/>
    <mergeCell ref="AQ37:AQ38"/>
    <mergeCell ref="P17:P18"/>
    <mergeCell ref="L17:L18"/>
    <mergeCell ref="A6:C6"/>
    <mergeCell ref="K52:O52"/>
    <mergeCell ref="I14:I16"/>
    <mergeCell ref="I17:I18"/>
    <mergeCell ref="I19:I22"/>
    <mergeCell ref="K17:K18"/>
    <mergeCell ref="M17:M18"/>
    <mergeCell ref="N17:N18"/>
    <mergeCell ref="O17:O18"/>
    <mergeCell ref="D28:E28"/>
    <mergeCell ref="B32:I32"/>
  </mergeCells>
  <conditionalFormatting sqref="D28">
    <cfRule type="expression" dxfId="13" priority="4">
      <formula>ISTEXT($H$28)</formula>
    </cfRule>
    <cfRule type="expression" dxfId="12" priority="5">
      <formula>$H$28&gt;0</formula>
    </cfRule>
  </conditionalFormatting>
  <conditionalFormatting sqref="E12:E13">
    <cfRule type="expression" dxfId="11" priority="13">
      <formula>"p3=""yes"""</formula>
    </cfRule>
  </conditionalFormatting>
  <conditionalFormatting sqref="E17">
    <cfRule type="cellIs" dxfId="10" priority="10" operator="greaterThan">
      <formula>($E$14+$E$15)</formula>
    </cfRule>
  </conditionalFormatting>
  <conditionalFormatting sqref="F10:F13 F18:F23">
    <cfRule type="cellIs" dxfId="9" priority="9" operator="lessThan">
      <formula>0</formula>
    </cfRule>
  </conditionalFormatting>
  <conditionalFormatting sqref="F34:G34">
    <cfRule type="cellIs" dxfId="8" priority="2" operator="lessThan">
      <formula>0</formula>
    </cfRule>
  </conditionalFormatting>
  <conditionalFormatting sqref="G28">
    <cfRule type="expression" dxfId="7" priority="51">
      <formula>E11="no"</formula>
    </cfRule>
  </conditionalFormatting>
  <conditionalFormatting sqref="G34">
    <cfRule type="cellIs" dxfId="6" priority="3" operator="equal">
      <formula>"Knock out"</formula>
    </cfRule>
  </conditionalFormatting>
  <conditionalFormatting sqref="G16:H16">
    <cfRule type="cellIs" dxfId="5" priority="7" operator="equal">
      <formula>"Knock out"</formula>
    </cfRule>
  </conditionalFormatting>
  <conditionalFormatting sqref="G18:H22 G25:H25">
    <cfRule type="cellIs" dxfId="4" priority="11" operator="equal">
      <formula>"Knock out"</formula>
    </cfRule>
    <cfRule type="cellIs" dxfId="3" priority="12" operator="lessThan">
      <formula>0</formula>
    </cfRule>
  </conditionalFormatting>
  <conditionalFormatting sqref="G27:H27">
    <cfRule type="cellIs" dxfId="2" priority="8" operator="greaterThan">
      <formula>0</formula>
    </cfRule>
  </conditionalFormatting>
  <conditionalFormatting sqref="G28:H28">
    <cfRule type="cellIs" dxfId="1" priority="6" operator="equal">
      <formula>"Knockout"</formula>
    </cfRule>
  </conditionalFormatting>
  <conditionalFormatting sqref="L11">
    <cfRule type="cellIs" dxfId="0" priority="14" operator="lessThan">
      <formula>50</formula>
    </cfRule>
  </conditionalFormatting>
  <dataValidations count="5">
    <dataValidation type="list" allowBlank="1" showInputMessage="1" showErrorMessage="1" sqref="E20" xr:uid="{E1BD5608-F3DD-4690-93BC-0D387EE9047A}">
      <formula1>$P$44:$P$46</formula1>
    </dataValidation>
    <dataValidation type="list" allowBlank="1" showInputMessage="1" showErrorMessage="1" sqref="E13" xr:uid="{24ECF566-61F9-4E69-996E-643A8FDBB5A7}">
      <formula1>$N$46:$N$47</formula1>
    </dataValidation>
    <dataValidation type="list" allowBlank="1" showInputMessage="1" showErrorMessage="1" sqref="E18:E19" xr:uid="{460B9455-927E-4FBC-8D2B-22E42CF98232}">
      <formula1>$P$44:$P$47</formula1>
    </dataValidation>
    <dataValidation type="list" allowBlank="1" showInputMessage="1" showErrorMessage="1" sqref="A6" xr:uid="{946FDC97-0C54-427D-9F00-D24105DDA411}">
      <formula1>$K$44:$K$45</formula1>
    </dataValidation>
    <dataValidation type="list" allowBlank="1" showInputMessage="1" showErrorMessage="1" sqref="E10:E13" xr:uid="{552B329C-6E03-4CE7-9748-E934C5AB9198}">
      <formula1>$O$44:$O$45</formula1>
    </dataValidation>
  </dataValidations>
  <pageMargins left="0.25" right="0.25" top="0.75" bottom="0.75" header="0.3" footer="0.3"/>
  <pageSetup paperSize="9" scale="37" orientation="landscape" r:id="rId1"/>
  <headerFooter>
    <oddFooter>&amp;R_x000D_&amp;1#&amp;"Aptos"&amp;8&amp;K737373 General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8B45-10E5-4194-B2B9-0C7CF20E05C1}">
  <dimension ref="A1:G28"/>
  <sheetViews>
    <sheetView workbookViewId="0">
      <selection activeCell="D10" sqref="D10"/>
    </sheetView>
  </sheetViews>
  <sheetFormatPr defaultColWidth="11.28515625" defaultRowHeight="15"/>
  <cols>
    <col min="2" max="2" width="18.28515625" customWidth="1"/>
    <col min="3" max="3" width="10.140625" customWidth="1"/>
    <col min="5" max="5" width="12" customWidth="1"/>
    <col min="6" max="6" width="18" bestFit="1" customWidth="1"/>
  </cols>
  <sheetData>
    <row r="1" spans="1:7">
      <c r="A1" s="68"/>
      <c r="B1" s="68"/>
      <c r="C1" s="68"/>
      <c r="D1" s="68"/>
      <c r="E1" s="68"/>
      <c r="F1" s="68"/>
    </row>
    <row r="2" spans="1:7">
      <c r="A2" s="68"/>
      <c r="B2" s="353" t="s">
        <v>331</v>
      </c>
      <c r="C2" s="68"/>
      <c r="D2" s="68"/>
      <c r="E2" s="68"/>
      <c r="F2" s="68"/>
    </row>
    <row r="3" spans="1:7">
      <c r="A3" s="68"/>
      <c r="B3" s="68" t="s">
        <v>332</v>
      </c>
      <c r="C3" s="68"/>
      <c r="D3" s="68"/>
      <c r="E3" s="68"/>
      <c r="F3" s="68"/>
    </row>
    <row r="4" spans="1:7">
      <c r="A4" s="68"/>
      <c r="B4" s="68"/>
      <c r="C4" s="68"/>
      <c r="D4" s="68"/>
      <c r="E4" s="68"/>
      <c r="F4" s="68"/>
    </row>
    <row r="5" spans="1:7">
      <c r="A5" s="68"/>
      <c r="B5" s="68"/>
      <c r="C5" s="68"/>
      <c r="D5" s="68"/>
      <c r="E5" s="68"/>
      <c r="F5" s="68"/>
    </row>
    <row r="6" spans="1:7">
      <c r="A6" s="68"/>
      <c r="B6" s="426" t="s">
        <v>333</v>
      </c>
      <c r="C6" s="427"/>
      <c r="D6" s="427"/>
      <c r="E6" s="352"/>
      <c r="F6" s="352"/>
      <c r="G6" s="352"/>
    </row>
    <row r="7" spans="1:7">
      <c r="A7" s="68"/>
      <c r="B7" s="354" t="s">
        <v>334</v>
      </c>
      <c r="C7" s="355" t="s">
        <v>335</v>
      </c>
      <c r="D7" s="356">
        <f>SUM(F13:F17)*(1-$D$28/100)</f>
        <v>0</v>
      </c>
    </row>
    <row r="8" spans="1:7">
      <c r="A8" s="68"/>
      <c r="B8" s="354" t="s">
        <v>336</v>
      </c>
      <c r="C8" s="355" t="s">
        <v>335</v>
      </c>
      <c r="D8" s="356">
        <f>SUM(F18)*(1-$D$28/100)</f>
        <v>0</v>
      </c>
    </row>
    <row r="9" spans="1:7">
      <c r="A9" s="68"/>
      <c r="B9" s="354" t="s">
        <v>337</v>
      </c>
      <c r="C9" s="355" t="s">
        <v>335</v>
      </c>
      <c r="D9" s="356">
        <f>SUM(F19:F20)*(1-$D$28/100)</f>
        <v>0</v>
      </c>
    </row>
    <row r="10" spans="1:7">
      <c r="A10" s="68"/>
      <c r="B10" s="357" t="s">
        <v>338</v>
      </c>
      <c r="C10" s="355" t="s">
        <v>335</v>
      </c>
      <c r="D10" s="356">
        <f>D7+D8*0.8+D9*0.2</f>
        <v>0</v>
      </c>
      <c r="E10" s="328" t="s">
        <v>339</v>
      </c>
    </row>
    <row r="11" spans="1:7">
      <c r="A11" s="68"/>
      <c r="F11" s="326"/>
    </row>
    <row r="12" spans="1:7">
      <c r="A12" s="68"/>
      <c r="B12" s="329" t="s">
        <v>340</v>
      </c>
      <c r="C12" s="330"/>
      <c r="D12" s="331" t="s">
        <v>341</v>
      </c>
      <c r="E12" s="332" t="s">
        <v>342</v>
      </c>
      <c r="F12" s="332" t="s">
        <v>343</v>
      </c>
    </row>
    <row r="13" spans="1:7">
      <c r="A13" s="68"/>
      <c r="B13" s="333" t="s">
        <v>344</v>
      </c>
      <c r="C13" s="327" t="s">
        <v>345</v>
      </c>
      <c r="D13" s="348"/>
      <c r="E13" s="348"/>
      <c r="F13" s="327" t="str">
        <f>IF(D13="","",AVERAGE(D13:E13))</f>
        <v/>
      </c>
    </row>
    <row r="14" spans="1:7">
      <c r="A14" s="68"/>
      <c r="B14" s="333" t="s">
        <v>346</v>
      </c>
      <c r="C14" s="327" t="s">
        <v>345</v>
      </c>
      <c r="D14" s="348"/>
      <c r="E14" s="348"/>
      <c r="F14" s="327" t="str">
        <f t="shared" ref="F14:F26" si="0">IF(D14="","",AVERAGE(D14:E14))</f>
        <v/>
      </c>
    </row>
    <row r="15" spans="1:7">
      <c r="A15" s="68"/>
      <c r="B15" s="333" t="s">
        <v>347</v>
      </c>
      <c r="C15" s="327" t="s">
        <v>345</v>
      </c>
      <c r="D15" s="348"/>
      <c r="E15" s="348"/>
      <c r="F15" s="327" t="str">
        <f t="shared" si="0"/>
        <v/>
      </c>
    </row>
    <row r="16" spans="1:7">
      <c r="A16" s="68"/>
      <c r="B16" s="333" t="s">
        <v>348</v>
      </c>
      <c r="C16" s="327" t="s">
        <v>345</v>
      </c>
      <c r="D16" s="349"/>
      <c r="E16" s="348"/>
      <c r="F16" s="327" t="str">
        <f t="shared" si="0"/>
        <v/>
      </c>
    </row>
    <row r="17" spans="1:6">
      <c r="A17" s="68"/>
      <c r="B17" s="333" t="s">
        <v>349</v>
      </c>
      <c r="C17" s="327" t="s">
        <v>345</v>
      </c>
      <c r="D17" s="348"/>
      <c r="E17" s="348"/>
      <c r="F17" s="327" t="str">
        <f t="shared" si="0"/>
        <v/>
      </c>
    </row>
    <row r="18" spans="1:6">
      <c r="A18" s="68"/>
      <c r="B18" s="333" t="s">
        <v>350</v>
      </c>
      <c r="C18" s="327" t="s">
        <v>345</v>
      </c>
      <c r="D18" s="348"/>
      <c r="E18" s="348"/>
      <c r="F18" s="327" t="str">
        <f t="shared" si="0"/>
        <v/>
      </c>
    </row>
    <row r="19" spans="1:6">
      <c r="A19" s="68"/>
      <c r="B19" s="333" t="s">
        <v>351</v>
      </c>
      <c r="C19" s="327" t="s">
        <v>345</v>
      </c>
      <c r="D19" s="348"/>
      <c r="E19" s="348"/>
      <c r="F19" s="327" t="str">
        <f t="shared" si="0"/>
        <v/>
      </c>
    </row>
    <row r="20" spans="1:6">
      <c r="A20" s="68"/>
      <c r="B20" s="333" t="s">
        <v>352</v>
      </c>
      <c r="C20" s="327" t="s">
        <v>345</v>
      </c>
      <c r="D20" s="348"/>
      <c r="E20" s="348"/>
      <c r="F20" s="327" t="str">
        <f t="shared" si="0"/>
        <v/>
      </c>
    </row>
    <row r="21" spans="1:6">
      <c r="A21" s="68"/>
      <c r="B21" s="333" t="s">
        <v>353</v>
      </c>
      <c r="C21" s="327" t="s">
        <v>345</v>
      </c>
      <c r="D21" s="348"/>
      <c r="E21" s="348"/>
      <c r="F21" s="327" t="str">
        <f t="shared" si="0"/>
        <v/>
      </c>
    </row>
    <row r="22" spans="1:6">
      <c r="A22" s="68"/>
      <c r="B22" s="333" t="s">
        <v>354</v>
      </c>
      <c r="C22" s="327" t="s">
        <v>345</v>
      </c>
      <c r="D22" s="348"/>
      <c r="E22" s="348"/>
      <c r="F22" s="327" t="str">
        <f t="shared" si="0"/>
        <v/>
      </c>
    </row>
    <row r="23" spans="1:6">
      <c r="A23" s="68"/>
      <c r="B23" s="333" t="s">
        <v>355</v>
      </c>
      <c r="C23" s="327" t="s">
        <v>345</v>
      </c>
      <c r="D23" s="348"/>
      <c r="E23" s="348"/>
      <c r="F23" s="327" t="str">
        <f t="shared" si="0"/>
        <v/>
      </c>
    </row>
    <row r="24" spans="1:6">
      <c r="A24" s="68"/>
      <c r="B24" s="333" t="s">
        <v>356</v>
      </c>
      <c r="C24" s="327" t="s">
        <v>345</v>
      </c>
      <c r="D24" s="348"/>
      <c r="E24" s="348"/>
      <c r="F24" s="327" t="str">
        <f t="shared" si="0"/>
        <v/>
      </c>
    </row>
    <row r="25" spans="1:6">
      <c r="A25" s="68"/>
      <c r="B25" s="333" t="s">
        <v>357</v>
      </c>
      <c r="C25" s="327" t="s">
        <v>345</v>
      </c>
      <c r="D25" s="348"/>
      <c r="E25" s="348"/>
      <c r="F25" s="327" t="str">
        <f t="shared" si="0"/>
        <v/>
      </c>
    </row>
    <row r="26" spans="1:6">
      <c r="A26" s="68"/>
      <c r="B26" s="333" t="s">
        <v>358</v>
      </c>
      <c r="C26" s="327" t="s">
        <v>345</v>
      </c>
      <c r="D26" s="348"/>
      <c r="E26" s="348"/>
      <c r="F26" s="327" t="str">
        <f t="shared" si="0"/>
        <v/>
      </c>
    </row>
    <row r="27" spans="1:6">
      <c r="A27" s="68"/>
      <c r="B27" s="68"/>
      <c r="C27" s="68"/>
      <c r="D27" s="68"/>
      <c r="E27" s="68"/>
      <c r="F27" s="68"/>
    </row>
    <row r="28" spans="1:6">
      <c r="A28" s="68"/>
      <c r="B28" s="334" t="s">
        <v>32</v>
      </c>
      <c r="C28" s="334" t="s">
        <v>167</v>
      </c>
      <c r="D28" s="350"/>
      <c r="E28" s="68"/>
      <c r="F28" s="68"/>
    </row>
  </sheetData>
  <sheetProtection algorithmName="SHA-512" hashValue="IVrezorJnAIFRSwd+SzpXJwJpCyO0EwMNn6ZIhxvKN3tae2UGxEfXjduX/MYIiMWlXOHixAJ0fYgRh1vGIkOEw==" saltValue="a67BBTLhxm/lwBGZkI70Bg==" spinCount="100000" sheet="1" objects="1" scenarios="1"/>
  <mergeCells count="1">
    <mergeCell ref="B6:D6"/>
  </mergeCells>
  <pageMargins left="0.7" right="0.7" top="0.78740157499999996" bottom="0.78740157499999996" header="0.3" footer="0.3"/>
  <pageSetup paperSize="9" orientation="portrait" r:id="rId1"/>
  <headerFooter>
    <oddFooter>&amp;R_x000D_&amp;1#&amp;"Aptos"&amp;8&amp;K737373 General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D2FB22E92C4E4A855543C146CFAFA6" ma:contentTypeVersion="13" ma:contentTypeDescription="Create a new document." ma:contentTypeScope="" ma:versionID="716d47749d8042370221ed75fe2a6e5d">
  <xsd:schema xmlns:xsd="http://www.w3.org/2001/XMLSchema" xmlns:xs="http://www.w3.org/2001/XMLSchema" xmlns:p="http://schemas.microsoft.com/office/2006/metadata/properties" xmlns:ns2="f625c269-60c8-4f2d-b03f-8330c70f58f0" xmlns:ns3="d855e06a-82da-49ac-ab86-4107f57c4b36" targetNamespace="http://schemas.microsoft.com/office/2006/metadata/properties" ma:root="true" ma:fieldsID="715d39390bb510b7654f47b2e7d904a0" ns2:_="" ns3:_="">
    <xsd:import namespace="f625c269-60c8-4f2d-b03f-8330c70f58f0"/>
    <xsd:import namespace="d855e06a-82da-49ac-ab86-4107f57c4b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25c269-60c8-4f2d-b03f-8330c70f5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d9e7e7-7edf-4c35-b735-edef714d3416"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55e06a-82da-49ac-ab86-4107f57c4b3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5cbdf2a-2a41-4224-934c-7b23267d51bd}" ma:internalName="TaxCatchAll" ma:showField="CatchAllData" ma:web="d855e06a-82da-49ac-ab86-4107f57c4b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855e06a-82da-49ac-ab86-4107f57c4b36" xsi:nil="true"/>
    <lcf76f155ced4ddcb4097134ff3c332f xmlns="f625c269-60c8-4f2d-b03f-8330c70f58f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A8A1DB-8BD3-4CD1-84D6-004C46016D20}"/>
</file>

<file path=customXml/itemProps2.xml><?xml version="1.0" encoding="utf-8"?>
<ds:datastoreItem xmlns:ds="http://schemas.openxmlformats.org/officeDocument/2006/customXml" ds:itemID="{340D1869-EFDC-40AB-A203-76E2B2FED312}"/>
</file>

<file path=customXml/itemProps3.xml><?xml version="1.0" encoding="utf-8"?>
<ds:datastoreItem xmlns:ds="http://schemas.openxmlformats.org/officeDocument/2006/customXml" ds:itemID="{F5B7C64B-B360-41C8-8006-1D57851554F5}"/>
</file>

<file path=docMetadata/LabelInfo.xml><?xml version="1.0" encoding="utf-8"?>
<clbl:labelList xmlns:clbl="http://schemas.microsoft.com/office/2020/mipLabelMetadata">
  <clbl:label id="{25b55a0c-bcf3-45fe-8d6b-e30a646beadd}" enabled="1" method="Privileged" siteId="{d2d2794a-61cc-4823-9690-8e288fd554cc}" contentBits="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Stora Enso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Hengesbach, Peter</dc:creator>
  <cp:keywords/>
  <dc:description/>
  <cp:lastModifiedBy>Oana Andreea Barsan</cp:lastModifiedBy>
  <cp:revision/>
  <dcterms:created xsi:type="dcterms:W3CDTF">2024-10-30T12:36:03Z</dcterms:created>
  <dcterms:modified xsi:type="dcterms:W3CDTF">2026-08-26T09:51:55Z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0x010100FED2FB22E92C4E4A855543C146CFAFA6</vt:lpwstr>
  </property>
  <property fmtid="{D5CDD505-2E9C-101B-9397-08002B2CF9AE}" pid="3" name="MediaServiceImageTags">
    <vt:lpwstr/>
  </property>
</Properties>
</file>